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6" activeTab="1"/>
  </bookViews>
  <sheets>
    <sheet name="绿化-东" sheetId="11" r:id="rId1"/>
    <sheet name="绿化-西南" sheetId="12" r:id="rId2"/>
    <sheet name="绿化-西北" sheetId="13" r:id="rId3"/>
    <sheet name="道路保洁-东" sheetId="8" r:id="rId4"/>
    <sheet name="道路保洁-西南" sheetId="9" r:id="rId5"/>
    <sheet name="道路保洁-西北" sheetId="10" r:id="rId6"/>
    <sheet name="市政西北片" sheetId="5" r:id="rId7"/>
    <sheet name="市政-东片" sheetId="6" r:id="rId8"/>
    <sheet name="市政-西南片" sheetId="7" r:id="rId9"/>
  </sheets>
  <externalReferences>
    <externalReference r:id="rId10"/>
  </externalReferences>
  <definedNames>
    <definedName name="_xlnm._FilterDatabase" localSheetId="3" hidden="1">'道路保洁-东'!$A$4:$AB$21</definedName>
    <definedName name="_xlnm._FilterDatabase" localSheetId="4" hidden="1">'道路保洁-西南'!$A$4:$AB$24</definedName>
    <definedName name="_xlnm._FilterDatabase" localSheetId="5" hidden="1">'道路保洁-西北'!$A$4:$AA$51</definedName>
    <definedName name="_xlnm.Print_Area" localSheetId="6">市政西北片!$A$1:$AD$37</definedName>
    <definedName name="_xlnm.Print_Titles" localSheetId="6">市政西北片!$A$1:$E$65536</definedName>
    <definedName name="_xlnm.Print_Area" localSheetId="7">'市政-东片'!$A$1:$X$37</definedName>
    <definedName name="_xlnm.Print_Titles" localSheetId="7">'市政-东片'!$A$1:$E$65536</definedName>
    <definedName name="_xlnm.Print_Area" localSheetId="8">'市政-西南片'!$A$1:$X$37</definedName>
    <definedName name="_xlnm.Print_Titles" localSheetId="8">'市政-西南片'!$A$1:$E$65536</definedName>
    <definedName name="_xlnm.Print_Area" localSheetId="0">'绿化-东'!$A$1:$G$45</definedName>
    <definedName name="_xlnm.Print_Area" localSheetId="1">'绿化-西南'!$A$1:$G$49</definedName>
    <definedName name="_xlnm.Print_Area" localSheetId="2">'绿化-西北'!$A$1:$H$100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<sst xmlns="http://schemas.openxmlformats.org/spreadsheetml/2006/main" count="1278" uniqueCount="436">
  <si>
    <t>行道树</t>
  </si>
  <si>
    <t>序号</t>
  </si>
  <si>
    <t>道路名称</t>
  </si>
  <si>
    <t>起止路段</t>
  </si>
  <si>
    <t>实测设施量（株）</t>
  </si>
  <si>
    <t>小树</t>
  </si>
  <si>
    <t>中树</t>
  </si>
  <si>
    <t>大树</t>
  </si>
  <si>
    <t>小计</t>
  </si>
  <si>
    <t>姚虹东路</t>
  </si>
  <si>
    <t>吴中路-古羊路</t>
  </si>
  <si>
    <t>红松东路</t>
  </si>
  <si>
    <t>虹许路-宋园路</t>
  </si>
  <si>
    <t>伊犁南路</t>
  </si>
  <si>
    <t>红松路-古羊路</t>
  </si>
  <si>
    <t>古北路</t>
  </si>
  <si>
    <t>古羊路-吴中路</t>
  </si>
  <si>
    <t>古北南路</t>
  </si>
  <si>
    <t>吴中路南-区界</t>
  </si>
  <si>
    <t>虹许路</t>
  </si>
  <si>
    <t>区界-古羊路</t>
  </si>
  <si>
    <t>虹梅路</t>
  </si>
  <si>
    <t>吴中路-延安西路</t>
  </si>
  <si>
    <t>吴中路</t>
  </si>
  <si>
    <t xml:space="preserve">翠钰南路 </t>
  </si>
  <si>
    <t>虹镇路</t>
  </si>
  <si>
    <t>吴中路-蒲汇塘</t>
  </si>
  <si>
    <t>吴美路</t>
  </si>
  <si>
    <t>虹许路-虹梅路</t>
  </si>
  <si>
    <t>合计</t>
  </si>
  <si>
    <t>绿地</t>
  </si>
  <si>
    <t>绿地名称</t>
  </si>
  <si>
    <t>位置</t>
  </si>
  <si>
    <t>面积(平方米)</t>
  </si>
  <si>
    <t>等级</t>
  </si>
  <si>
    <t>备注</t>
  </si>
  <si>
    <t>中环线两侧绿地</t>
  </si>
  <si>
    <t>古羊路-南桥</t>
  </si>
  <si>
    <t>一</t>
  </si>
  <si>
    <t>桂林路-虹梅路</t>
  </si>
  <si>
    <t>古北新城绿地（北）</t>
  </si>
  <si>
    <t>古北新城南</t>
  </si>
  <si>
    <t>古北1号门口周边</t>
  </si>
  <si>
    <t>天鸿公寓</t>
  </si>
  <si>
    <t>缘聚虹桥</t>
  </si>
  <si>
    <t>张虹路绿地</t>
  </si>
  <si>
    <t>吴美路绿地</t>
  </si>
  <si>
    <t>翠钰南路</t>
  </si>
  <si>
    <t>吴中路-红松东路</t>
  </si>
  <si>
    <t>三</t>
  </si>
  <si>
    <t>古北新城绿地（南）</t>
  </si>
  <si>
    <t>古羊路古北路转角</t>
  </si>
  <si>
    <t>古羊路古北路</t>
  </si>
  <si>
    <t>古羊路绿地</t>
  </si>
  <si>
    <t>虹许路-古北路</t>
  </si>
  <si>
    <t>翠钰路铁塔下绿地</t>
  </si>
  <si>
    <t>湘府小道</t>
  </si>
  <si>
    <t>古北大成公馆</t>
  </si>
  <si>
    <t>虹五路</t>
  </si>
  <si>
    <t>古北南路隔离带</t>
  </si>
  <si>
    <t>口袋公园</t>
  </si>
  <si>
    <t>名称</t>
  </si>
  <si>
    <t>面积</t>
  </si>
  <si>
    <t>圆梦虹桥</t>
  </si>
  <si>
    <t>虹许路吴美路路口</t>
  </si>
  <si>
    <t>虹泉路</t>
  </si>
  <si>
    <t>虹莘路-万源路</t>
  </si>
  <si>
    <t>万源路</t>
  </si>
  <si>
    <t>蒲汇塘桥-吴中路</t>
  </si>
  <si>
    <t>莲花路</t>
  </si>
  <si>
    <t>宜山路-吴中路</t>
  </si>
  <si>
    <t>环镇南路</t>
  </si>
  <si>
    <t>万源路-虹梅南路</t>
  </si>
  <si>
    <t>环镇西路</t>
  </si>
  <si>
    <t>吴中路-环镇南路</t>
  </si>
  <si>
    <t>合川路</t>
  </si>
  <si>
    <t>吴中路-宜山路</t>
  </si>
  <si>
    <t>银亭路</t>
  </si>
  <si>
    <t>吴中路-虹泉路</t>
  </si>
  <si>
    <t>田林路</t>
  </si>
  <si>
    <t>合川路-万源路</t>
  </si>
  <si>
    <t>宜山路(北)</t>
  </si>
  <si>
    <t>合川路-莲花路</t>
  </si>
  <si>
    <t>吴中路-区界</t>
  </si>
  <si>
    <t>紫藤路-虹许路</t>
  </si>
  <si>
    <t>金汇南路</t>
  </si>
  <si>
    <t>蒲汇塘-吴中路</t>
  </si>
  <si>
    <t>虹桥休闲健身绿地</t>
  </si>
  <si>
    <t>浦汇塘、文化中心后</t>
  </si>
  <si>
    <t>亲水花街绿地</t>
  </si>
  <si>
    <t>新泾港—莲花路</t>
  </si>
  <si>
    <t>宜山路—吴中路</t>
  </si>
  <si>
    <t>濮院绿地</t>
  </si>
  <si>
    <t>绿廊贯通（蒲汇塘北）</t>
  </si>
  <si>
    <t>剪刀石头布</t>
  </si>
  <si>
    <t>万源新城四期北侧</t>
  </si>
  <si>
    <t>绿廊贯通（新泾港西）</t>
  </si>
  <si>
    <t>合川路美美好好绿地</t>
  </si>
  <si>
    <t>合川路环镇南路路口</t>
  </si>
  <si>
    <t>虹梅路—万源路</t>
  </si>
  <si>
    <t>二</t>
  </si>
  <si>
    <t>虹梅路绿地</t>
  </si>
  <si>
    <t>程家桥支路－环镇南路</t>
  </si>
  <si>
    <t>合川路至虹莘路</t>
  </si>
  <si>
    <t>环镇西路绿地</t>
  </si>
  <si>
    <t>浦汇塘－吴中路</t>
  </si>
  <si>
    <t>虹梅路2759弄</t>
  </si>
  <si>
    <t>环镇西路6-39-41弄</t>
  </si>
  <si>
    <t>虹梅路2986弄</t>
  </si>
  <si>
    <t>虹梅路2964弄</t>
  </si>
  <si>
    <t>万源路花坛</t>
  </si>
  <si>
    <t>合川路隔离带（南）</t>
  </si>
  <si>
    <t>金汇南路绿地</t>
  </si>
  <si>
    <t>合川路地铁口</t>
  </si>
  <si>
    <t>虹秀路沿线</t>
  </si>
  <si>
    <t>园创虹桥</t>
  </si>
  <si>
    <t>莲花路宜山路路口</t>
  </si>
  <si>
    <t>金汇路</t>
  </si>
  <si>
    <t>延安高架-吴中路</t>
  </si>
  <si>
    <t>吴中路-奥丁别墅</t>
  </si>
  <si>
    <t>华光路</t>
  </si>
  <si>
    <t>虹中路-虹梅路</t>
  </si>
  <si>
    <t>吴中路-程家桥路</t>
  </si>
  <si>
    <t>虹中路</t>
  </si>
  <si>
    <t>吴中路-延安高架</t>
  </si>
  <si>
    <t>紫乐路</t>
  </si>
  <si>
    <t>虹中路-合川路</t>
  </si>
  <si>
    <t>程家桥路</t>
  </si>
  <si>
    <t>延安高架-南桥</t>
  </si>
  <si>
    <t>黄桦路</t>
  </si>
  <si>
    <t>虹井路-青杉路</t>
  </si>
  <si>
    <t>绿苑路</t>
  </si>
  <si>
    <t>黄桦路-红松路</t>
  </si>
  <si>
    <t>白樟路</t>
  </si>
  <si>
    <t>红松路-老虹井路</t>
  </si>
  <si>
    <t>紫藤路</t>
  </si>
  <si>
    <t>吴中路-青杉路</t>
  </si>
  <si>
    <t>兰竹路</t>
  </si>
  <si>
    <t>红松路-青杉路</t>
  </si>
  <si>
    <t>青杉路</t>
  </si>
  <si>
    <t>兰竹路-金汇路</t>
  </si>
  <si>
    <t>红松路</t>
  </si>
  <si>
    <t>兰竹路-虹梅路</t>
  </si>
  <si>
    <t>紫秀路</t>
  </si>
  <si>
    <t>合川路-虹中路</t>
  </si>
  <si>
    <t>程家桥支路</t>
  </si>
  <si>
    <t>合川路-虹梅路</t>
  </si>
  <si>
    <t>虹井路</t>
  </si>
  <si>
    <t>吴中路－延安西路</t>
  </si>
  <si>
    <t>老虹井路</t>
  </si>
  <si>
    <t>吴中路－青杉路</t>
  </si>
  <si>
    <t>虹中路-吴中路</t>
  </si>
  <si>
    <t>虹中支路</t>
  </si>
  <si>
    <t>合川路-金汇路</t>
  </si>
  <si>
    <t>金汇三街坊</t>
  </si>
  <si>
    <t>红松路-金汇路</t>
  </si>
  <si>
    <t>需回缩修剪</t>
  </si>
  <si>
    <t>青杉路绿地</t>
  </si>
  <si>
    <t>龙柏七村门口</t>
  </si>
  <si>
    <t>黄桦路步行街</t>
  </si>
  <si>
    <t>青杉路—红松路</t>
  </si>
  <si>
    <t>陶家浜</t>
  </si>
  <si>
    <t>白樟路144号（青杉路北）</t>
  </si>
  <si>
    <t>金汇路广场</t>
  </si>
  <si>
    <t>红松路、金汇路口</t>
  </si>
  <si>
    <t>吴美路虹中路绿地</t>
  </si>
  <si>
    <t>紫藤路—虹梅路</t>
  </si>
  <si>
    <t>红松路、兰竹路口</t>
  </si>
  <si>
    <t>红松路口</t>
  </si>
  <si>
    <t>红松休闲园</t>
  </si>
  <si>
    <t>老虹井路—红松路</t>
  </si>
  <si>
    <t>紫藤华庭绿地</t>
  </si>
  <si>
    <t>紫藤华庭小区南侧</t>
  </si>
  <si>
    <t>吴中路-蒲汇塘路</t>
  </si>
  <si>
    <t>红松路—青杉路</t>
  </si>
  <si>
    <t>长宁福利院河边绿地</t>
  </si>
  <si>
    <t>延安西路高架</t>
  </si>
  <si>
    <t>虹中路-野奴泾</t>
  </si>
  <si>
    <t>吴中路—延安高架</t>
  </si>
  <si>
    <t>吴中路—青杉路</t>
  </si>
  <si>
    <t>兰竹路—新泾港</t>
  </si>
  <si>
    <t>青杉路两侧绿地</t>
  </si>
  <si>
    <t>兰竹路－虹井路</t>
  </si>
  <si>
    <t>黄桦路两侧绿地</t>
  </si>
  <si>
    <t>红松路—虹井路</t>
  </si>
  <si>
    <t>白樟路99弄口街坊路绿地</t>
  </si>
  <si>
    <t>白樟路—紫藤路</t>
  </si>
  <si>
    <t>龙柏三村街坊绿地</t>
  </si>
  <si>
    <t>黄桦路—虹井路</t>
  </si>
  <si>
    <t>吴中路-新泾港</t>
  </si>
  <si>
    <t>虹梅路两侧</t>
  </si>
  <si>
    <t>龙柏二村嘉富丽苑通道</t>
  </si>
  <si>
    <t>龙柏宝鸿公寓通道</t>
  </si>
  <si>
    <t>虹欣苑北门</t>
  </si>
  <si>
    <t>吴中路970弄</t>
  </si>
  <si>
    <t>吴中路870弄</t>
  </si>
  <si>
    <t>吴中路830弄</t>
  </si>
  <si>
    <t>940弄小花园</t>
  </si>
  <si>
    <t>虹鹿花园东门小路</t>
  </si>
  <si>
    <t>红松路日本人学校</t>
  </si>
  <si>
    <t>合川路—虹中路</t>
  </si>
  <si>
    <t>金雨路</t>
  </si>
  <si>
    <t>老虹井路绿地</t>
  </si>
  <si>
    <t>合川路隔离带（北）</t>
  </si>
  <si>
    <t>华光路嘉年别墅至虹梅路</t>
  </si>
  <si>
    <t>流晶逸彩460弄西门花坛</t>
  </si>
  <si>
    <t>红村二公寓南门口</t>
  </si>
  <si>
    <t>源起虹桥</t>
  </si>
  <si>
    <t>延安西路合川路路口</t>
  </si>
  <si>
    <t>愿景虹桥</t>
  </si>
  <si>
    <t>紫藤华庭南侧</t>
  </si>
  <si>
    <t>立体绿化养护明细</t>
  </si>
  <si>
    <t>地址</t>
  </si>
  <si>
    <t>类型</t>
  </si>
  <si>
    <t>面积/长度（㎡/m）</t>
  </si>
  <si>
    <t>政府大楼屋顶</t>
  </si>
  <si>
    <t>草坪式</t>
  </si>
  <si>
    <t>因立体绿化标段需在养护范围内，区级才能给予补贴，所以只是象征性的列入标段单价算1元/平方米，除华菱大厦外与绿篱外，其他部分由所属单位物业养护。华菱大厦屋顶花园式12.7元/平方米，绿篱、檐口2元/平方米，合计应是13970++600+8000=22570元。</t>
  </si>
  <si>
    <t>虹桥城管中心</t>
  </si>
  <si>
    <t>花园式</t>
  </si>
  <si>
    <t>华菱大厦屋顶</t>
  </si>
  <si>
    <t>华菱大厦</t>
  </si>
  <si>
    <t>檐口</t>
  </si>
  <si>
    <t>绿篱</t>
  </si>
  <si>
    <t>红松东路古羊路等</t>
  </si>
  <si>
    <t>虹桥镇道路明细表--东片</t>
  </si>
  <si>
    <t>路名</t>
  </si>
  <si>
    <t>起点</t>
  </si>
  <si>
    <t>迄点</t>
  </si>
  <si>
    <t>属性</t>
  </si>
  <si>
    <t>道路长度（m）</t>
  </si>
  <si>
    <t>人行道宽（m）</t>
  </si>
  <si>
    <t>面积(㎡)</t>
  </si>
  <si>
    <t>路面长（m）</t>
  </si>
  <si>
    <t>路面宽</t>
  </si>
  <si>
    <t>路面面积(㎡)</t>
  </si>
  <si>
    <t>面积比例</t>
  </si>
  <si>
    <t>有效保洁面积(㎡)</t>
  </si>
  <si>
    <t>有效清扫总面积(㎡)</t>
  </si>
  <si>
    <t>机动车道（m）</t>
  </si>
  <si>
    <t>非机动车道（m）</t>
  </si>
  <si>
    <t>翠钰路</t>
  </si>
  <si>
    <t>古羊路</t>
  </si>
  <si>
    <t>镇级</t>
  </si>
  <si>
    <t>三级</t>
  </si>
  <si>
    <t>市政</t>
  </si>
  <si>
    <t>二级</t>
  </si>
  <si>
    <t>大不列颠英国外籍人员子女学校</t>
  </si>
  <si>
    <t>古羊路辅道</t>
  </si>
  <si>
    <t>姚虹路</t>
  </si>
  <si>
    <t>恒盛苑北门</t>
  </si>
  <si>
    <t>背街小巷</t>
  </si>
  <si>
    <t>张虹路</t>
  </si>
  <si>
    <t>长宁界</t>
  </si>
  <si>
    <t>公路</t>
  </si>
  <si>
    <t>蒲汇塘桥</t>
  </si>
  <si>
    <t>桂林路</t>
  </si>
  <si>
    <t>姚红路</t>
  </si>
  <si>
    <t>中环</t>
  </si>
  <si>
    <t>湘府路</t>
  </si>
  <si>
    <t>吴中路405弄</t>
  </si>
  <si>
    <t>南面到底</t>
  </si>
  <si>
    <t>吴中路（西侧中心线）</t>
  </si>
  <si>
    <t>蓝蒲路</t>
  </si>
  <si>
    <t>蓝蒲路尽头</t>
  </si>
  <si>
    <t>虹桥镇道路明细表--南片</t>
  </si>
  <si>
    <t>吴中路（南侧）</t>
  </si>
  <si>
    <t>外环</t>
  </si>
  <si>
    <t>吴中路（北侧）</t>
  </si>
  <si>
    <t>漕宝路</t>
  </si>
  <si>
    <t>一级</t>
  </si>
  <si>
    <t>虹桥菜场北面小路</t>
  </si>
  <si>
    <t>虹桥菜场牌楼</t>
  </si>
  <si>
    <t>新泾港</t>
  </si>
  <si>
    <t>虹莘路</t>
  </si>
  <si>
    <t>宜山路</t>
  </si>
  <si>
    <t>蒲汇塘</t>
  </si>
  <si>
    <t>蒲汇塘桥西侧一半</t>
  </si>
  <si>
    <t>新泾港桥</t>
  </si>
  <si>
    <t>建筑公司门口</t>
  </si>
  <si>
    <t>虹秀路</t>
  </si>
  <si>
    <t>虹泉路虹秀路口</t>
  </si>
  <si>
    <t>往西南到底</t>
  </si>
  <si>
    <t>虹梅路2806弄小路</t>
  </si>
  <si>
    <t>虹许路桥</t>
  </si>
  <si>
    <t>虹桥镇道路明细表--西片</t>
  </si>
  <si>
    <t>延安西路</t>
  </si>
  <si>
    <t xml:space="preserve">老虹井路 </t>
  </si>
  <si>
    <t>延安西路南侧人行道</t>
  </si>
  <si>
    <t>西郊加油站</t>
  </si>
  <si>
    <t xml:space="preserve">虹井路 </t>
  </si>
  <si>
    <t>黄桦东路</t>
  </si>
  <si>
    <t>阿拉街</t>
  </si>
  <si>
    <t>先锋街</t>
  </si>
  <si>
    <t>金石广场</t>
  </si>
  <si>
    <t>金汇街坊路</t>
  </si>
  <si>
    <t>金汇学校</t>
  </si>
  <si>
    <t>金汇花园</t>
  </si>
  <si>
    <t>三村街坊路</t>
  </si>
  <si>
    <t>六村街坊路</t>
  </si>
  <si>
    <t>七村街坊路</t>
  </si>
  <si>
    <t>青衫路兰竹路交界口</t>
  </si>
  <si>
    <t>往西到底</t>
  </si>
  <si>
    <t>紫藤街坊路</t>
  </si>
  <si>
    <t>环卫所</t>
  </si>
  <si>
    <t>吴中路金雨路口</t>
  </si>
  <si>
    <t>往北到底</t>
  </si>
  <si>
    <t>虹六园区路</t>
  </si>
  <si>
    <t>利港定损中心</t>
  </si>
  <si>
    <t>米高道路</t>
  </si>
  <si>
    <t>汉庭小路</t>
  </si>
  <si>
    <t>奥森小路</t>
  </si>
  <si>
    <t>奥森花苑北门</t>
  </si>
  <si>
    <t>野怒泾旁小路
（程家桥支路南面）</t>
  </si>
  <si>
    <t>虹春二公寓</t>
  </si>
  <si>
    <t>大门</t>
  </si>
  <si>
    <t>野怒泾旁小路</t>
  </si>
  <si>
    <t>2986弄小路</t>
  </si>
  <si>
    <t>2986弄口</t>
  </si>
  <si>
    <t>虹梅路红松路口</t>
  </si>
  <si>
    <t>定额编号</t>
  </si>
  <si>
    <t>项目</t>
  </si>
  <si>
    <t>单位</t>
  </si>
  <si>
    <t>老环卫所街坊路</t>
  </si>
  <si>
    <t>数  量</t>
  </si>
  <si>
    <t>保 养 率
（%）</t>
  </si>
  <si>
    <t>单  价
（元）</t>
  </si>
  <si>
    <t>合  价
（元）</t>
  </si>
  <si>
    <t>路    段</t>
  </si>
  <si>
    <t>虹许路-合川路</t>
  </si>
  <si>
    <t>虹梅路--虹中路</t>
  </si>
  <si>
    <t>虹梅路--新泾港</t>
  </si>
  <si>
    <t>虹中路--合川路</t>
  </si>
  <si>
    <t>虹许路--合川路</t>
  </si>
  <si>
    <t>延安西路--吴中路</t>
  </si>
  <si>
    <t>虹中路--程家桥路</t>
  </si>
  <si>
    <t>延安西路-合川路</t>
  </si>
  <si>
    <t>新泾港--兰竹路</t>
  </si>
  <si>
    <t>金汇路-兰竹路</t>
  </si>
  <si>
    <t>虹井路--金雨路</t>
  </si>
  <si>
    <t>程家桥路--吴中路</t>
  </si>
  <si>
    <t>金斯花园--吴中路</t>
  </si>
  <si>
    <t>虹井路-青衫路</t>
  </si>
  <si>
    <t>黄桦路--红松路</t>
  </si>
  <si>
    <t>红松路--青杉路</t>
  </si>
  <si>
    <t>青杉路--吴中路</t>
  </si>
  <si>
    <t>红松路-吴中路</t>
  </si>
  <si>
    <t>紫藤路--老环卫所</t>
  </si>
  <si>
    <r>
      <t>里程</t>
    </r>
    <r>
      <rPr>
        <sz val="12"/>
        <rFont val="宋体"/>
        <charset val="134"/>
      </rPr>
      <t>(m)</t>
    </r>
  </si>
  <si>
    <t>路幅(m)</t>
  </si>
  <si>
    <t>8-14</t>
  </si>
  <si>
    <t>7-11</t>
  </si>
  <si>
    <t>6-12</t>
  </si>
  <si>
    <t>15</t>
  </si>
  <si>
    <t>12</t>
  </si>
  <si>
    <t>9</t>
  </si>
  <si>
    <t>年限</t>
  </si>
  <si>
    <t>Y010101</t>
  </si>
  <si>
    <t>水泥砼路面</t>
  </si>
  <si>
    <r>
      <t>10000</t>
    </r>
    <r>
      <rPr>
        <sz val="16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</si>
  <si>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Y010102</t>
  </si>
  <si>
    <t>车行道沥青砼
（主干道）</t>
  </si>
  <si>
    <t>5年以下</t>
  </si>
  <si>
    <t>Y010103</t>
  </si>
  <si>
    <t>10年以下</t>
  </si>
  <si>
    <t>Y010104</t>
  </si>
  <si>
    <t>15年以下</t>
  </si>
  <si>
    <t>Y010105</t>
  </si>
  <si>
    <t>15年以上</t>
  </si>
  <si>
    <t>Y010106</t>
  </si>
  <si>
    <t>车行道沥青砼
（次干道）</t>
  </si>
  <si>
    <t>Y010107</t>
  </si>
  <si>
    <t>Y010108</t>
  </si>
  <si>
    <t>Y010109</t>
  </si>
  <si>
    <t>Y010110</t>
  </si>
  <si>
    <t>车行道沥青砼
（支路）</t>
  </si>
  <si>
    <t>Y010111</t>
  </si>
  <si>
    <t>Y010112</t>
  </si>
  <si>
    <t>Y010113</t>
  </si>
  <si>
    <t>Y010114</t>
  </si>
  <si>
    <t>车行道沥青砼（非机动）</t>
  </si>
  <si>
    <t>Y010115</t>
  </si>
  <si>
    <t>现浇混凝土斜坡</t>
  </si>
  <si>
    <t>Y010116</t>
  </si>
  <si>
    <t>预制人行道板</t>
  </si>
  <si>
    <t>Y010117</t>
  </si>
  <si>
    <t>彩色预制块</t>
  </si>
  <si>
    <t>Y010118</t>
  </si>
  <si>
    <t>石材类人行道板</t>
  </si>
  <si>
    <t>Y010119</t>
  </si>
  <si>
    <t>侧石</t>
  </si>
  <si>
    <r>
      <t>10000</t>
    </r>
    <r>
      <rPr>
        <sz val="16"/>
        <rFont val="宋体"/>
        <charset val="134"/>
      </rPr>
      <t>m</t>
    </r>
  </si>
  <si>
    <t>Y010120</t>
  </si>
  <si>
    <t>平石</t>
  </si>
  <si>
    <t>Y010121</t>
  </si>
  <si>
    <t>路名牌</t>
  </si>
  <si>
    <t>100套</t>
  </si>
  <si>
    <t>0.07/10.48</t>
  </si>
  <si>
    <t>Y010122</t>
  </si>
  <si>
    <t>人行道隔离护栏</t>
  </si>
  <si>
    <r>
      <t>100</t>
    </r>
    <r>
      <rPr>
        <sz val="16"/>
        <rFont val="宋体"/>
        <charset val="134"/>
      </rPr>
      <t>m</t>
    </r>
  </si>
  <si>
    <t>Y010123</t>
  </si>
  <si>
    <t>车行道隔离护栏</t>
  </si>
  <si>
    <t>Y010124</t>
  </si>
  <si>
    <t>机非隔离护栏</t>
  </si>
  <si>
    <t>Y010125</t>
  </si>
  <si>
    <t>道路巡视检查</t>
  </si>
  <si>
    <t>KM*次</t>
  </si>
  <si>
    <t>Y010201</t>
  </si>
  <si>
    <t>钢筋混凝土桥</t>
  </si>
  <si>
    <r>
      <t>1000</t>
    </r>
    <r>
      <rPr>
        <sz val="16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</si>
  <si>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Y010202</t>
  </si>
  <si>
    <t>钢桁架桥</t>
  </si>
  <si>
    <t>Y010203</t>
  </si>
  <si>
    <t>钢筋混凝土人行立交桥</t>
  </si>
  <si>
    <t>Y010204</t>
  </si>
  <si>
    <t>钢结构人行立交桥</t>
  </si>
  <si>
    <t>Y010205</t>
  </si>
  <si>
    <t>人行地道</t>
  </si>
  <si>
    <t>Y010206</t>
  </si>
  <si>
    <t>车行地道</t>
  </si>
  <si>
    <t>古羊路-蒲汇塘</t>
  </si>
  <si>
    <t>张虹路-虹许路</t>
  </si>
  <si>
    <t>古羊路-红松东路</t>
  </si>
  <si>
    <t>吴中路-古北首席</t>
  </si>
  <si>
    <t>21.5-23.5</t>
  </si>
  <si>
    <t>10-15</t>
  </si>
  <si>
    <t>合川路--新泾港</t>
  </si>
  <si>
    <t>吴美路-宜山路</t>
  </si>
  <si>
    <t>吴中路--环镇南路</t>
  </si>
  <si>
    <t>新泾港--璞院北门</t>
  </si>
  <si>
    <t>吴中路--虹泉路</t>
  </si>
  <si>
    <t>虹中路-宜山路</t>
  </si>
  <si>
    <t>中环线-外环线</t>
  </si>
  <si>
    <t>12-18</t>
  </si>
  <si>
    <t>12-14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</si>
</sst>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00_ "/>
    <numFmt numFmtId="179" formatCode="0.00_ "/>
    <numFmt numFmtId="180" formatCode="0.000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4"/>
      <color rgb="FFFF000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华文仿宋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vertAlign val="superscript"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4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9" applyNumberFormat="0" applyAlignment="0" applyProtection="0">
      <alignment vertical="center"/>
    </xf>
    <xf numFmtId="0" fontId="36" fillId="7" borderId="50" applyNumberFormat="0" applyAlignment="0" applyProtection="0">
      <alignment vertical="center"/>
    </xf>
    <xf numFmtId="0" fontId="37" fillId="7" borderId="49" applyNumberFormat="0" applyAlignment="0" applyProtection="0">
      <alignment vertical="center"/>
    </xf>
    <xf numFmtId="0" fontId="38" fillId="8" borderId="51" applyNumberFormat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0" fillId="0" borderId="5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49" fontId="1" fillId="2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shrinkToFit="1"/>
    </xf>
    <xf numFmtId="177" fontId="1" fillId="2" borderId="10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49" fontId="1" fillId="2" borderId="6" xfId="0" applyNumberFormat="1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shrinkToFit="1"/>
    </xf>
    <xf numFmtId="49" fontId="1" fillId="2" borderId="11" xfId="0" applyNumberFormat="1" applyFont="1" applyFill="1" applyBorder="1" applyAlignment="1">
      <alignment horizontal="center" vertical="center" shrinkToFit="1"/>
    </xf>
    <xf numFmtId="49" fontId="1" fillId="2" borderId="10" xfId="0" applyNumberFormat="1" applyFont="1" applyFill="1" applyBorder="1" applyAlignment="1">
      <alignment horizontal="center" vertical="center" shrinkToFit="1"/>
    </xf>
    <xf numFmtId="49" fontId="1" fillId="2" borderId="12" xfId="0" applyNumberFormat="1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/>
    </xf>
    <xf numFmtId="178" fontId="1" fillId="2" borderId="7" xfId="0" applyNumberFormat="1" applyFont="1" applyFill="1" applyBorder="1" applyAlignment="1">
      <alignment horizontal="center" vertical="center" shrinkToFit="1"/>
    </xf>
    <xf numFmtId="178" fontId="1" fillId="2" borderId="7" xfId="0" applyNumberFormat="1" applyFont="1" applyFill="1" applyBorder="1" applyAlignment="1">
      <alignment horizontal="center" vertical="center" shrinkToFit="1"/>
    </xf>
    <xf numFmtId="179" fontId="1" fillId="2" borderId="10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 shrinkToFit="1"/>
    </xf>
    <xf numFmtId="178" fontId="1" fillId="2" borderId="7" xfId="0" applyNumberFormat="1" applyFont="1" applyFill="1" applyBorder="1" applyAlignment="1">
      <alignment horizontal="center" vertical="center"/>
    </xf>
    <xf numFmtId="180" fontId="1" fillId="2" borderId="0" xfId="0" applyNumberFormat="1" applyFont="1" applyFill="1" applyBorder="1" applyAlignment="1">
      <alignment horizontal="center" vertical="center" shrinkToFit="1"/>
    </xf>
    <xf numFmtId="178" fontId="1" fillId="2" borderId="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179" fontId="1" fillId="2" borderId="7" xfId="0" applyNumberFormat="1" applyFont="1" applyFill="1" applyBorder="1" applyAlignment="1">
      <alignment horizontal="center" vertical="center" shrinkToFit="1"/>
    </xf>
    <xf numFmtId="179" fontId="1" fillId="2" borderId="10" xfId="0" applyNumberFormat="1" applyFont="1" applyFill="1" applyBorder="1" applyAlignment="1">
      <alignment horizontal="center" vertical="center" shrinkToFit="1"/>
    </xf>
    <xf numFmtId="177" fontId="1" fillId="2" borderId="7" xfId="0" applyNumberFormat="1" applyFont="1" applyFill="1" applyBorder="1" applyAlignment="1">
      <alignment horizontal="center" vertical="center" shrinkToFit="1"/>
    </xf>
    <xf numFmtId="177" fontId="1" fillId="0" borderId="7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179" fontId="1" fillId="0" borderId="10" xfId="0" applyNumberFormat="1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1" fontId="1" fillId="2" borderId="14" xfId="0" applyNumberFormat="1" applyFont="1" applyFill="1" applyBorder="1" applyAlignment="1">
      <alignment horizontal="center" vertical="center" shrinkToFit="1"/>
    </xf>
    <xf numFmtId="1" fontId="1" fillId="2" borderId="15" xfId="0" applyNumberFormat="1" applyFont="1" applyFill="1" applyBorder="1" applyAlignment="1">
      <alignment horizontal="center" vertical="center" shrinkToFit="1"/>
    </xf>
    <xf numFmtId="1" fontId="6" fillId="2" borderId="15" xfId="0" applyNumberFormat="1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 shrinkToFit="1"/>
    </xf>
    <xf numFmtId="178" fontId="1" fillId="0" borderId="7" xfId="0" applyNumberFormat="1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176" fontId="1" fillId="2" borderId="8" xfId="0" applyNumberFormat="1" applyFont="1" applyFill="1" applyBorder="1" applyAlignment="1">
      <alignment horizontal="center" vertical="center" shrinkToFi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5" fillId="0" borderId="23" xfId="52" applyFont="1" applyFill="1" applyBorder="1" applyAlignment="1">
      <alignment horizontal="center" vertical="center" wrapText="1"/>
    </xf>
    <xf numFmtId="0" fontId="15" fillId="0" borderId="3" xfId="52" applyNumberFormat="1" applyFont="1" applyFill="1" applyBorder="1" applyAlignment="1">
      <alignment horizontal="center" vertical="center" wrapText="1"/>
    </xf>
    <xf numFmtId="0" fontId="15" fillId="0" borderId="19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53" applyFont="1" applyFill="1" applyBorder="1" applyAlignment="1">
      <alignment horizontal="center" vertical="center"/>
    </xf>
    <xf numFmtId="49" fontId="16" fillId="0" borderId="3" xfId="53" applyNumberFormat="1" applyFont="1" applyFill="1" applyBorder="1" applyAlignment="1">
      <alignment horizontal="center" vertical="center" wrapText="1"/>
    </xf>
    <xf numFmtId="0" fontId="16" fillId="0" borderId="3" xfId="53" applyFont="1" applyFill="1" applyBorder="1" applyAlignment="1">
      <alignment horizontal="center" vertical="center" wrapText="1"/>
    </xf>
    <xf numFmtId="0" fontId="16" fillId="0" borderId="3" xfId="53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53" applyFont="1" applyFill="1" applyBorder="1" applyAlignment="1">
      <alignment horizontal="center" vertical="center"/>
    </xf>
    <xf numFmtId="49" fontId="17" fillId="0" borderId="3" xfId="53" applyNumberFormat="1" applyFont="1" applyFill="1" applyBorder="1" applyAlignment="1">
      <alignment horizontal="center" vertical="center" wrapText="1"/>
    </xf>
    <xf numFmtId="0" fontId="17" fillId="0" borderId="3" xfId="53" applyFont="1" applyFill="1" applyBorder="1" applyAlignment="1">
      <alignment horizontal="center" vertical="center" wrapText="1"/>
    </xf>
    <xf numFmtId="0" fontId="17" fillId="0" borderId="3" xfId="53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8" fillId="3" borderId="25" xfId="51" applyFont="1" applyFill="1" applyBorder="1" applyAlignment="1">
      <alignment horizontal="center" vertical="center" wrapText="1"/>
    </xf>
    <xf numFmtId="0" fontId="18" fillId="3" borderId="0" xfId="51" applyFont="1" applyFill="1" applyAlignment="1">
      <alignment horizontal="center" vertical="center" wrapText="1"/>
    </xf>
    <xf numFmtId="0" fontId="19" fillId="3" borderId="26" xfId="49" applyFont="1" applyFill="1" applyBorder="1" applyAlignment="1">
      <alignment horizontal="center" vertical="center"/>
    </xf>
    <xf numFmtId="0" fontId="19" fillId="3" borderId="27" xfId="49" applyFont="1" applyFill="1" applyBorder="1" applyAlignment="1">
      <alignment horizontal="center" vertical="center"/>
    </xf>
    <xf numFmtId="0" fontId="19" fillId="3" borderId="28" xfId="49" applyFont="1" applyFill="1" applyBorder="1" applyAlignment="1">
      <alignment horizontal="center" vertical="center"/>
    </xf>
    <xf numFmtId="0" fontId="19" fillId="3" borderId="29" xfId="49" applyFont="1" applyFill="1" applyBorder="1" applyAlignment="1">
      <alignment horizontal="center" vertical="center"/>
    </xf>
    <xf numFmtId="0" fontId="19" fillId="3" borderId="3" xfId="49" applyFont="1" applyFill="1" applyBorder="1" applyAlignment="1">
      <alignment horizontal="center" vertical="center"/>
    </xf>
    <xf numFmtId="0" fontId="18" fillId="3" borderId="3" xfId="51" applyFont="1" applyFill="1" applyBorder="1" applyAlignment="1">
      <alignment horizontal="center" vertical="center" wrapText="1"/>
    </xf>
    <xf numFmtId="0" fontId="19" fillId="3" borderId="30" xfId="49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3" borderId="3" xfId="49" applyFont="1" applyFill="1" applyBorder="1" applyAlignment="1">
      <alignment horizontal="center" vertical="center" wrapText="1"/>
    </xf>
    <xf numFmtId="0" fontId="9" fillId="3" borderId="3" xfId="49" applyFont="1" applyFill="1" applyBorder="1" applyAlignment="1">
      <alignment horizontal="center" vertical="center"/>
    </xf>
    <xf numFmtId="0" fontId="20" fillId="3" borderId="3" xfId="49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20" fillId="3" borderId="3" xfId="49" applyFont="1" applyFill="1" applyBorder="1" applyAlignment="1">
      <alignment horizontal="center" vertical="center" wrapText="1"/>
    </xf>
    <xf numFmtId="0" fontId="20" fillId="3" borderId="3" xfId="5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3" xfId="54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9" fillId="4" borderId="3" xfId="49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19" fillId="3" borderId="3" xfId="49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24" fillId="3" borderId="28" xfId="49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top" wrapText="1"/>
    </xf>
    <xf numFmtId="0" fontId="18" fillId="3" borderId="30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9" xfId="0" applyFont="1" applyBorder="1">
      <alignment vertical="center"/>
    </xf>
    <xf numFmtId="0" fontId="5" fillId="0" borderId="31" xfId="0" applyFont="1" applyBorder="1">
      <alignment vertical="center"/>
    </xf>
    <xf numFmtId="0" fontId="24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18" fillId="3" borderId="32" xfId="0" applyFont="1" applyFill="1" applyBorder="1" applyAlignment="1">
      <alignment horizontal="left" vertical="top" wrapText="1"/>
    </xf>
    <xf numFmtId="0" fontId="18" fillId="3" borderId="3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8" fillId="0" borderId="26" xfId="51" applyFont="1" applyFill="1" applyBorder="1" applyAlignment="1">
      <alignment horizontal="center" vertical="center" wrapText="1"/>
    </xf>
    <xf numFmtId="0" fontId="18" fillId="0" borderId="27" xfId="51" applyFont="1" applyFill="1" applyBorder="1" applyAlignment="1">
      <alignment horizontal="center" vertical="center" wrapText="1"/>
    </xf>
    <xf numFmtId="0" fontId="18" fillId="0" borderId="28" xfId="51" applyFont="1" applyFill="1" applyBorder="1" applyAlignment="1">
      <alignment horizontal="center" vertical="center" wrapText="1"/>
    </xf>
    <xf numFmtId="0" fontId="24" fillId="0" borderId="29" xfId="49" applyFont="1" applyFill="1" applyBorder="1" applyAlignment="1">
      <alignment horizontal="center" vertical="center"/>
    </xf>
    <xf numFmtId="0" fontId="24" fillId="0" borderId="3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18" fillId="0" borderId="3" xfId="5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0" fontId="9" fillId="0" borderId="30" xfId="49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8" xfId="49" applyFont="1" applyFill="1" applyBorder="1" applyAlignment="1">
      <alignment horizontal="center" vertical="center" wrapText="1"/>
    </xf>
    <xf numFmtId="0" fontId="9" fillId="0" borderId="39" xfId="49" applyFont="1" applyFill="1" applyBorder="1" applyAlignment="1">
      <alignment horizontal="center" vertical="center" wrapText="1"/>
    </xf>
    <xf numFmtId="0" fontId="9" fillId="0" borderId="40" xfId="49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center" vertical="center"/>
    </xf>
    <xf numFmtId="0" fontId="24" fillId="0" borderId="43" xfId="49" applyFont="1" applyFill="1" applyBorder="1" applyAlignment="1">
      <alignment horizontal="center" vertical="center"/>
    </xf>
    <xf numFmtId="0" fontId="24" fillId="0" borderId="3" xfId="49" applyFont="1" applyFill="1" applyBorder="1" applyAlignment="1">
      <alignment horizontal="center" vertical="center" wrapText="1"/>
    </xf>
    <xf numFmtId="0" fontId="24" fillId="3" borderId="3" xfId="49" applyFont="1" applyFill="1" applyBorder="1" applyAlignment="1">
      <alignment horizontal="center" vertical="center"/>
    </xf>
    <xf numFmtId="0" fontId="24" fillId="3" borderId="30" xfId="49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9" fillId="0" borderId="44" xfId="0" applyNumberFormat="1" applyFont="1" applyFill="1" applyBorder="1" applyAlignment="1">
      <alignment horizontal="center" vertical="center" wrapText="1"/>
    </xf>
    <xf numFmtId="0" fontId="9" fillId="0" borderId="45" xfId="0" applyNumberFormat="1" applyFont="1" applyFill="1" applyBorder="1" applyAlignment="1">
      <alignment horizontal="center" vertical="center" wrapText="1"/>
    </xf>
    <xf numFmtId="0" fontId="9" fillId="0" borderId="25" xfId="0" applyNumberFormat="1" applyFont="1" applyFill="1" applyBorder="1" applyAlignment="1">
      <alignment horizontal="center" vertical="center" wrapText="1"/>
    </xf>
    <xf numFmtId="0" fontId="18" fillId="3" borderId="26" xfId="51" applyFont="1" applyFill="1" applyBorder="1" applyAlignment="1">
      <alignment horizontal="center" vertical="center" wrapText="1"/>
    </xf>
    <xf numFmtId="0" fontId="18" fillId="3" borderId="27" xfId="51" applyFont="1" applyFill="1" applyBorder="1" applyAlignment="1">
      <alignment horizontal="center" vertical="center" wrapText="1"/>
    </xf>
    <xf numFmtId="0" fontId="18" fillId="3" borderId="28" xfId="51" applyFont="1" applyFill="1" applyBorder="1" applyAlignment="1">
      <alignment horizontal="center" vertical="center" wrapText="1"/>
    </xf>
    <xf numFmtId="0" fontId="24" fillId="3" borderId="29" xfId="49" applyFont="1" applyFill="1" applyBorder="1" applyAlignment="1">
      <alignment horizontal="center" vertical="center"/>
    </xf>
    <xf numFmtId="0" fontId="9" fillId="3" borderId="30" xfId="49" applyFont="1" applyFill="1" applyBorder="1" applyAlignment="1">
      <alignment horizontal="center" vertical="center"/>
    </xf>
    <xf numFmtId="0" fontId="5" fillId="3" borderId="30" xfId="49" applyFont="1" applyFill="1" applyBorder="1" applyAlignment="1">
      <alignment horizontal="center" vertical="center"/>
    </xf>
    <xf numFmtId="0" fontId="26" fillId="3" borderId="3" xfId="49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0" fontId="10" fillId="3" borderId="3" xfId="49" applyFont="1" applyFill="1" applyBorder="1" applyAlignment="1">
      <alignment horizontal="center" vertical="center" wrapText="1"/>
    </xf>
    <xf numFmtId="0" fontId="10" fillId="3" borderId="30" xfId="49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24" fillId="3" borderId="27" xfId="49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4" fillId="3" borderId="0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虹桥镇行道树测绘清单" xfId="50"/>
    <cellStyle name="常规 2 2 3" xfId="51"/>
    <cellStyle name="常规_Sheet1" xfId="52"/>
    <cellStyle name="常规 3" xfId="53"/>
    <cellStyle name="常规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sweet\Desktop\&#30830;&#35748;&#36947;&#36335;&#31561;&#32423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</sheetNames>
    <sheetDataSet>
      <sheetData sheetId="0" refreshError="1"/>
      <sheetData sheetId="1" refreshError="1">
        <row r="65">
          <cell r="B65" t="str">
            <v>红松东路</v>
          </cell>
          <cell r="C65" t="str">
            <v>虹梅路</v>
          </cell>
          <cell r="D65" t="str">
            <v>合川路</v>
          </cell>
          <cell r="E65" t="str">
            <v>市政</v>
          </cell>
        </row>
        <row r="66">
          <cell r="B66" t="str">
            <v>华光路</v>
          </cell>
          <cell r="C66" t="str">
            <v>虹梅路</v>
          </cell>
          <cell r="D66" t="str">
            <v>合川路</v>
          </cell>
          <cell r="E66" t="str">
            <v>市政</v>
          </cell>
        </row>
        <row r="67">
          <cell r="B67" t="str">
            <v>吴美路</v>
          </cell>
          <cell r="C67" t="str">
            <v>合川路</v>
          </cell>
          <cell r="D67" t="str">
            <v>中环</v>
          </cell>
          <cell r="E67" t="str">
            <v>市政</v>
          </cell>
        </row>
        <row r="68">
          <cell r="B68" t="str">
            <v>奥森小路</v>
          </cell>
          <cell r="C68" t="str">
            <v>虹中路</v>
          </cell>
          <cell r="D68" t="str">
            <v>奥森花苑北门</v>
          </cell>
          <cell r="E68" t="str">
            <v>背街小巷</v>
          </cell>
        </row>
        <row r="69">
          <cell r="B69" t="str">
            <v>野怒泾旁小路
（程家桥支路南面）</v>
          </cell>
          <cell r="C69" t="str">
            <v>程家桥支路</v>
          </cell>
          <cell r="D69" t="str">
            <v>红松东路</v>
          </cell>
          <cell r="E69" t="str">
            <v>背街小巷</v>
          </cell>
        </row>
        <row r="70">
          <cell r="B70" t="str">
            <v>虹春二公寓</v>
          </cell>
          <cell r="C70" t="str">
            <v>程家桥路</v>
          </cell>
          <cell r="D70" t="str">
            <v>大门</v>
          </cell>
          <cell r="E70" t="str">
            <v>背街小巷</v>
          </cell>
        </row>
        <row r="71">
          <cell r="B71" t="str">
            <v>万源路</v>
          </cell>
          <cell r="C71" t="str">
            <v>吴中路</v>
          </cell>
          <cell r="D71" t="str">
            <v>吴美路</v>
          </cell>
          <cell r="E71" t="str">
            <v>市政</v>
          </cell>
        </row>
        <row r="72">
          <cell r="B72" t="str">
            <v>合川路</v>
          </cell>
          <cell r="C72" t="str">
            <v>延安西路</v>
          </cell>
          <cell r="D72" t="str">
            <v>吴中路</v>
          </cell>
          <cell r="E72" t="str">
            <v>市政</v>
          </cell>
        </row>
        <row r="73">
          <cell r="B73" t="str">
            <v>莲花路</v>
          </cell>
          <cell r="C73" t="str">
            <v>吴中路</v>
          </cell>
          <cell r="D73" t="str">
            <v>吴美路</v>
          </cell>
          <cell r="E73" t="str">
            <v>公路</v>
          </cell>
        </row>
        <row r="74">
          <cell r="B74" t="str">
            <v>虹中路</v>
          </cell>
          <cell r="C74" t="str">
            <v>吴中路</v>
          </cell>
          <cell r="D74" t="str">
            <v>延安西路</v>
          </cell>
          <cell r="E74" t="str">
            <v>公路</v>
          </cell>
        </row>
        <row r="75">
          <cell r="B75" t="str">
            <v>野怒泾旁小路</v>
          </cell>
          <cell r="C75" t="str">
            <v>华光路</v>
          </cell>
          <cell r="D75" t="str">
            <v>延安西路</v>
          </cell>
          <cell r="E75" t="str">
            <v>背街小巷</v>
          </cell>
        </row>
        <row r="76">
          <cell r="B76" t="str">
            <v>紫秀路</v>
          </cell>
          <cell r="C76" t="str">
            <v>合川路</v>
          </cell>
          <cell r="D76" t="str">
            <v>虹中路</v>
          </cell>
          <cell r="E76" t="str">
            <v>镇级</v>
          </cell>
        </row>
        <row r="77">
          <cell r="B77" t="str">
            <v>紫乐路</v>
          </cell>
          <cell r="C77" t="str">
            <v>合川路</v>
          </cell>
          <cell r="D77" t="str">
            <v>虹中路</v>
          </cell>
          <cell r="E77" t="str">
            <v>镇级</v>
          </cell>
        </row>
        <row r="78">
          <cell r="B78" t="str">
            <v>2986弄小路</v>
          </cell>
          <cell r="C78" t="str">
            <v>虹梅路</v>
          </cell>
          <cell r="D78" t="str">
            <v>2986弄口</v>
          </cell>
          <cell r="E78" t="str">
            <v>背街小巷</v>
          </cell>
        </row>
        <row r="79">
          <cell r="B79" t="str">
            <v>华光路</v>
          </cell>
          <cell r="C79" t="str">
            <v>虹梅路</v>
          </cell>
          <cell r="D79" t="str">
            <v>合川路</v>
          </cell>
          <cell r="E79" t="str">
            <v>市政</v>
          </cell>
        </row>
        <row r="80">
          <cell r="B80" t="str">
            <v>程家桥支路</v>
          </cell>
          <cell r="C80" t="str">
            <v>虹梅路</v>
          </cell>
          <cell r="D80" t="str">
            <v>虹中路</v>
          </cell>
          <cell r="E80" t="str">
            <v>公路</v>
          </cell>
        </row>
        <row r="81">
          <cell r="B81" t="str">
            <v>红松东路</v>
          </cell>
          <cell r="C81" t="str">
            <v>虹梅路红松路口</v>
          </cell>
          <cell r="D81" t="str">
            <v>合川路</v>
          </cell>
          <cell r="E81" t="str">
            <v>市政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22" workbookViewId="0">
      <selection activeCell="I47" sqref="G43:I47"/>
    </sheetView>
  </sheetViews>
  <sheetFormatPr defaultColWidth="9" defaultRowHeight="13.5" outlineLevelCol="6"/>
  <cols>
    <col min="2" max="2" width="15.3333333333333" customWidth="1"/>
    <col min="3" max="3" width="31.4416666666667" customWidth="1"/>
  </cols>
  <sheetData>
    <row r="1" ht="14.25"/>
    <row r="2" spans="1:7">
      <c r="A2" s="229" t="s">
        <v>0</v>
      </c>
      <c r="B2" s="230"/>
      <c r="C2" s="230"/>
      <c r="D2" s="230"/>
      <c r="E2" s="230"/>
      <c r="F2" s="230"/>
      <c r="G2" s="231"/>
    </row>
    <row r="3" spans="1:7">
      <c r="A3" s="232" t="s">
        <v>1</v>
      </c>
      <c r="B3" s="215" t="s">
        <v>2</v>
      </c>
      <c r="C3" s="215" t="s">
        <v>3</v>
      </c>
      <c r="D3" s="215" t="s">
        <v>4</v>
      </c>
      <c r="E3" s="215"/>
      <c r="F3" s="215"/>
      <c r="G3" s="216"/>
    </row>
    <row r="4" spans="1:7">
      <c r="A4" s="232"/>
      <c r="B4" s="215"/>
      <c r="C4" s="215"/>
      <c r="D4" s="117" t="s">
        <v>5</v>
      </c>
      <c r="E4" s="117" t="s">
        <v>6</v>
      </c>
      <c r="F4" s="117" t="s">
        <v>7</v>
      </c>
      <c r="G4" s="216" t="s">
        <v>8</v>
      </c>
    </row>
    <row r="5" spans="1:7">
      <c r="A5" s="119">
        <v>1</v>
      </c>
      <c r="B5" s="120" t="s">
        <v>9</v>
      </c>
      <c r="C5" s="120" t="s">
        <v>10</v>
      </c>
      <c r="D5" s="121"/>
      <c r="E5" s="121">
        <v>13</v>
      </c>
      <c r="F5" s="121">
        <v>153</v>
      </c>
      <c r="G5" s="233">
        <f t="shared" ref="G5:G15" si="0">SUM(D5:F5)</f>
        <v>166</v>
      </c>
    </row>
    <row r="6" spans="1:7">
      <c r="A6" s="119">
        <v>2</v>
      </c>
      <c r="B6" s="120" t="s">
        <v>11</v>
      </c>
      <c r="C6" s="120" t="s">
        <v>12</v>
      </c>
      <c r="D6" s="121">
        <v>82</v>
      </c>
      <c r="E6" s="121">
        <v>208</v>
      </c>
      <c r="F6" s="121">
        <v>100</v>
      </c>
      <c r="G6" s="234">
        <f t="shared" si="0"/>
        <v>390</v>
      </c>
    </row>
    <row r="7" spans="1:7">
      <c r="A7" s="119">
        <v>3</v>
      </c>
      <c r="B7" s="120" t="s">
        <v>13</v>
      </c>
      <c r="C7" s="120" t="s">
        <v>14</v>
      </c>
      <c r="D7" s="121"/>
      <c r="E7" s="121">
        <v>15</v>
      </c>
      <c r="F7" s="121">
        <v>18</v>
      </c>
      <c r="G7" s="233">
        <f t="shared" si="0"/>
        <v>33</v>
      </c>
    </row>
    <row r="8" spans="1:7">
      <c r="A8" s="119">
        <v>4</v>
      </c>
      <c r="B8" s="120" t="s">
        <v>15</v>
      </c>
      <c r="C8" s="120" t="s">
        <v>16</v>
      </c>
      <c r="D8" s="121">
        <v>16</v>
      </c>
      <c r="E8" s="121">
        <v>207</v>
      </c>
      <c r="F8" s="121"/>
      <c r="G8" s="233">
        <f t="shared" si="0"/>
        <v>223</v>
      </c>
    </row>
    <row r="9" spans="1:7">
      <c r="A9" s="119">
        <v>5</v>
      </c>
      <c r="B9" s="235" t="s">
        <v>17</v>
      </c>
      <c r="C9" s="236" t="s">
        <v>18</v>
      </c>
      <c r="D9" s="121">
        <v>3</v>
      </c>
      <c r="E9" s="121">
        <v>65</v>
      </c>
      <c r="F9" s="121">
        <v>48</v>
      </c>
      <c r="G9" s="233">
        <f t="shared" si="0"/>
        <v>116</v>
      </c>
    </row>
    <row r="10" spans="1:7">
      <c r="A10" s="119">
        <v>6</v>
      </c>
      <c r="B10" s="237" t="s">
        <v>19</v>
      </c>
      <c r="C10" s="237" t="s">
        <v>20</v>
      </c>
      <c r="D10" s="237">
        <v>13</v>
      </c>
      <c r="E10" s="237">
        <v>76</v>
      </c>
      <c r="F10" s="237">
        <v>185</v>
      </c>
      <c r="G10" s="238">
        <f t="shared" si="0"/>
        <v>274</v>
      </c>
    </row>
    <row r="11" spans="1:7">
      <c r="A11" s="119">
        <v>7</v>
      </c>
      <c r="B11" s="120" t="s">
        <v>21</v>
      </c>
      <c r="C11" s="236" t="s">
        <v>22</v>
      </c>
      <c r="D11" s="126"/>
      <c r="E11" s="126"/>
      <c r="F11" s="121">
        <v>233</v>
      </c>
      <c r="G11" s="238">
        <f t="shared" si="0"/>
        <v>233</v>
      </c>
    </row>
    <row r="12" spans="1:7">
      <c r="A12" s="119">
        <v>8</v>
      </c>
      <c r="B12" s="120" t="s">
        <v>23</v>
      </c>
      <c r="C12" s="236" t="s">
        <v>12</v>
      </c>
      <c r="D12" s="126"/>
      <c r="E12" s="126"/>
      <c r="F12" s="121">
        <v>279</v>
      </c>
      <c r="G12" s="233">
        <f t="shared" si="0"/>
        <v>279</v>
      </c>
    </row>
    <row r="13" spans="1:7">
      <c r="A13" s="119">
        <v>9</v>
      </c>
      <c r="B13" s="120" t="s">
        <v>24</v>
      </c>
      <c r="C13" s="236" t="s">
        <v>10</v>
      </c>
      <c r="D13" s="126"/>
      <c r="E13" s="126">
        <v>250</v>
      </c>
      <c r="F13" s="126"/>
      <c r="G13" s="233">
        <f t="shared" si="0"/>
        <v>250</v>
      </c>
    </row>
    <row r="14" spans="1:7">
      <c r="A14" s="119">
        <v>10</v>
      </c>
      <c r="B14" s="120" t="s">
        <v>25</v>
      </c>
      <c r="C14" s="236" t="s">
        <v>26</v>
      </c>
      <c r="D14" s="126">
        <v>100</v>
      </c>
      <c r="E14" s="126"/>
      <c r="F14" s="126"/>
      <c r="G14" s="233">
        <f t="shared" si="0"/>
        <v>100</v>
      </c>
    </row>
    <row r="15" spans="1:7">
      <c r="A15" s="119">
        <v>11</v>
      </c>
      <c r="B15" s="120" t="s">
        <v>27</v>
      </c>
      <c r="C15" s="236" t="s">
        <v>28</v>
      </c>
      <c r="D15" s="126"/>
      <c r="E15" s="126"/>
      <c r="F15" s="126">
        <v>141</v>
      </c>
      <c r="G15" s="233">
        <f t="shared" si="0"/>
        <v>141</v>
      </c>
    </row>
    <row r="16" ht="14.25" spans="1:7">
      <c r="A16" s="134" t="s">
        <v>29</v>
      </c>
      <c r="B16" s="135"/>
      <c r="C16" s="135"/>
      <c r="D16" s="135">
        <f t="shared" ref="D16:G16" si="1">SUM(D5:D15)</f>
        <v>214</v>
      </c>
      <c r="E16" s="135">
        <f t="shared" si="1"/>
        <v>834</v>
      </c>
      <c r="F16" s="135">
        <f t="shared" si="1"/>
        <v>1157</v>
      </c>
      <c r="G16" s="135">
        <f t="shared" si="1"/>
        <v>2205</v>
      </c>
    </row>
    <row r="17" spans="1:7">
      <c r="A17" s="109"/>
      <c r="B17" s="109"/>
      <c r="C17" s="109"/>
      <c r="D17" s="109"/>
      <c r="E17" s="109"/>
      <c r="F17" s="109"/>
      <c r="G17" s="109"/>
    </row>
    <row r="18" ht="14.25" spans="1:7">
      <c r="A18" s="109"/>
      <c r="B18" s="109"/>
      <c r="C18" s="109"/>
      <c r="D18" s="109"/>
      <c r="E18" s="109"/>
      <c r="F18" s="109"/>
      <c r="G18" s="109"/>
    </row>
    <row r="19" spans="1:7">
      <c r="A19" s="239"/>
      <c r="B19" s="240"/>
      <c r="C19" s="241" t="s">
        <v>30</v>
      </c>
      <c r="D19" s="240"/>
      <c r="E19" s="240"/>
      <c r="F19" s="240"/>
      <c r="G19" s="242"/>
    </row>
    <row r="20" spans="1:7">
      <c r="A20" s="232" t="s">
        <v>1</v>
      </c>
      <c r="B20" s="215" t="s">
        <v>31</v>
      </c>
      <c r="C20" s="215" t="s">
        <v>32</v>
      </c>
      <c r="D20" s="215" t="s">
        <v>33</v>
      </c>
      <c r="E20" s="215" t="s">
        <v>34</v>
      </c>
      <c r="F20" s="215" t="s">
        <v>29</v>
      </c>
      <c r="G20" s="216" t="s">
        <v>35</v>
      </c>
    </row>
    <row r="21" spans="1:7">
      <c r="A21" s="243">
        <v>1</v>
      </c>
      <c r="B21" s="244" t="s">
        <v>36</v>
      </c>
      <c r="C21" s="244" t="s">
        <v>37</v>
      </c>
      <c r="D21" s="244">
        <v>5557</v>
      </c>
      <c r="E21" s="244" t="s">
        <v>38</v>
      </c>
      <c r="F21" s="245">
        <f>SUM(D21:D27)</f>
        <v>28405</v>
      </c>
      <c r="G21" s="138"/>
    </row>
    <row r="22" spans="1:7">
      <c r="A22" s="243">
        <v>2</v>
      </c>
      <c r="B22" s="244" t="s">
        <v>23</v>
      </c>
      <c r="C22" s="244" t="s">
        <v>39</v>
      </c>
      <c r="D22" s="244">
        <v>3000</v>
      </c>
      <c r="E22" s="244" t="s">
        <v>38</v>
      </c>
      <c r="F22" s="246"/>
      <c r="G22" s="138"/>
    </row>
    <row r="23" spans="1:7">
      <c r="A23" s="243">
        <v>3</v>
      </c>
      <c r="B23" s="244" t="s">
        <v>40</v>
      </c>
      <c r="C23" s="244" t="s">
        <v>41</v>
      </c>
      <c r="D23" s="244">
        <v>10000</v>
      </c>
      <c r="E23" s="244" t="s">
        <v>38</v>
      </c>
      <c r="F23" s="246"/>
      <c r="G23" s="138"/>
    </row>
    <row r="24" spans="1:7">
      <c r="A24" s="243">
        <v>4</v>
      </c>
      <c r="B24" s="244"/>
      <c r="C24" s="244" t="s">
        <v>42</v>
      </c>
      <c r="D24" s="244">
        <v>3000</v>
      </c>
      <c r="E24" s="244" t="s">
        <v>38</v>
      </c>
      <c r="F24" s="246"/>
      <c r="G24" s="138"/>
    </row>
    <row r="25" spans="1:7">
      <c r="A25" s="243">
        <v>5</v>
      </c>
      <c r="B25" s="244"/>
      <c r="C25" s="244" t="s">
        <v>43</v>
      </c>
      <c r="D25" s="244">
        <v>3000</v>
      </c>
      <c r="E25" s="244" t="s">
        <v>38</v>
      </c>
      <c r="F25" s="246"/>
      <c r="G25" s="138"/>
    </row>
    <row r="26" spans="1:7">
      <c r="A26" s="243">
        <v>6</v>
      </c>
      <c r="B26" s="244" t="s">
        <v>44</v>
      </c>
      <c r="C26" s="244" t="s">
        <v>45</v>
      </c>
      <c r="D26" s="244">
        <v>400</v>
      </c>
      <c r="E26" s="244" t="s">
        <v>38</v>
      </c>
      <c r="F26" s="246"/>
      <c r="G26" s="138"/>
    </row>
    <row r="27" spans="1:7">
      <c r="A27" s="243">
        <v>7</v>
      </c>
      <c r="B27" s="244" t="s">
        <v>46</v>
      </c>
      <c r="C27" s="244" t="s">
        <v>28</v>
      </c>
      <c r="D27" s="244">
        <v>3448</v>
      </c>
      <c r="E27" s="244" t="s">
        <v>38</v>
      </c>
      <c r="F27" s="247"/>
      <c r="G27" s="138"/>
    </row>
    <row r="28" spans="1:7">
      <c r="A28" s="243">
        <v>8</v>
      </c>
      <c r="B28" s="244" t="s">
        <v>47</v>
      </c>
      <c r="C28" s="244" t="s">
        <v>48</v>
      </c>
      <c r="D28" s="244">
        <v>7687</v>
      </c>
      <c r="E28" s="244" t="s">
        <v>49</v>
      </c>
      <c r="F28" s="245">
        <f>SUM(D28:D38)</f>
        <v>72747</v>
      </c>
      <c r="G28" s="138"/>
    </row>
    <row r="29" spans="1:7">
      <c r="A29" s="243">
        <v>9</v>
      </c>
      <c r="B29" s="244" t="s">
        <v>50</v>
      </c>
      <c r="C29" s="244" t="s">
        <v>41</v>
      </c>
      <c r="D29" s="244">
        <v>35737</v>
      </c>
      <c r="E29" s="244" t="s">
        <v>49</v>
      </c>
      <c r="F29" s="246"/>
      <c r="G29" s="138"/>
    </row>
    <row r="30" spans="1:7">
      <c r="A30" s="243">
        <v>10</v>
      </c>
      <c r="B30" s="244" t="s">
        <v>51</v>
      </c>
      <c r="C30" s="244" t="s">
        <v>52</v>
      </c>
      <c r="D30" s="244">
        <v>1717</v>
      </c>
      <c r="E30" s="244" t="s">
        <v>49</v>
      </c>
      <c r="F30" s="246"/>
      <c r="G30" s="138"/>
    </row>
    <row r="31" spans="1:7">
      <c r="A31" s="243">
        <v>11</v>
      </c>
      <c r="B31" s="244" t="s">
        <v>17</v>
      </c>
      <c r="C31" s="244" t="s">
        <v>18</v>
      </c>
      <c r="D31" s="244">
        <v>306</v>
      </c>
      <c r="E31" s="244" t="s">
        <v>49</v>
      </c>
      <c r="F31" s="246"/>
      <c r="G31" s="138"/>
    </row>
    <row r="32" spans="1:7">
      <c r="A32" s="243">
        <v>12</v>
      </c>
      <c r="B32" s="244" t="s">
        <v>53</v>
      </c>
      <c r="C32" s="244" t="s">
        <v>54</v>
      </c>
      <c r="D32" s="244">
        <v>20000</v>
      </c>
      <c r="E32" s="244" t="s">
        <v>49</v>
      </c>
      <c r="F32" s="246"/>
      <c r="G32" s="138"/>
    </row>
    <row r="33" spans="1:7">
      <c r="A33" s="243">
        <v>13</v>
      </c>
      <c r="B33" s="244"/>
      <c r="C33" s="244" t="s">
        <v>13</v>
      </c>
      <c r="D33" s="244">
        <v>1000</v>
      </c>
      <c r="E33" s="244" t="s">
        <v>49</v>
      </c>
      <c r="F33" s="246"/>
      <c r="G33" s="138"/>
    </row>
    <row r="34" spans="1:7">
      <c r="A34" s="243">
        <v>14</v>
      </c>
      <c r="B34" s="244"/>
      <c r="C34" s="244" t="s">
        <v>55</v>
      </c>
      <c r="D34" s="244">
        <v>1000</v>
      </c>
      <c r="E34" s="244" t="s">
        <v>49</v>
      </c>
      <c r="F34" s="246"/>
      <c r="G34" s="138"/>
    </row>
    <row r="35" spans="1:7">
      <c r="A35" s="243">
        <v>15</v>
      </c>
      <c r="B35" s="244"/>
      <c r="C35" s="244" t="s">
        <v>56</v>
      </c>
      <c r="D35" s="244">
        <v>200</v>
      </c>
      <c r="E35" s="244" t="s">
        <v>49</v>
      </c>
      <c r="F35" s="246"/>
      <c r="G35" s="138"/>
    </row>
    <row r="36" spans="1:7">
      <c r="A36" s="243">
        <v>16</v>
      </c>
      <c r="B36" s="244"/>
      <c r="C36" s="244" t="s">
        <v>57</v>
      </c>
      <c r="D36" s="244">
        <v>3000</v>
      </c>
      <c r="E36" s="244" t="s">
        <v>49</v>
      </c>
      <c r="F36" s="246"/>
      <c r="G36" s="138"/>
    </row>
    <row r="37" spans="1:7">
      <c r="A37" s="243">
        <v>17</v>
      </c>
      <c r="B37" s="126"/>
      <c r="C37" s="126" t="s">
        <v>58</v>
      </c>
      <c r="D37" s="126">
        <v>1500</v>
      </c>
      <c r="E37" s="248" t="s">
        <v>49</v>
      </c>
      <c r="F37" s="246"/>
      <c r="G37" s="138"/>
    </row>
    <row r="38" spans="1:7">
      <c r="A38" s="243">
        <v>18</v>
      </c>
      <c r="B38" s="126"/>
      <c r="C38" s="248" t="s">
        <v>59</v>
      </c>
      <c r="D38" s="248">
        <v>600</v>
      </c>
      <c r="E38" s="248" t="s">
        <v>49</v>
      </c>
      <c r="F38" s="247"/>
      <c r="G38" s="138"/>
    </row>
    <row r="39" ht="14.25" spans="1:7">
      <c r="A39" s="249" t="s">
        <v>29</v>
      </c>
      <c r="B39" s="250"/>
      <c r="C39" s="251"/>
      <c r="D39" s="135">
        <f>SUM(D21:D38)</f>
        <v>101152</v>
      </c>
      <c r="E39" s="135"/>
      <c r="F39" s="135"/>
      <c r="G39" s="155"/>
    </row>
    <row r="40" spans="1:7">
      <c r="A40" s="109"/>
      <c r="B40" s="109"/>
      <c r="C40" s="252"/>
      <c r="D40" s="253"/>
      <c r="E40" s="254"/>
      <c r="F40" s="109"/>
      <c r="G40" s="109"/>
    </row>
    <row r="41" ht="14.25" spans="1:7">
      <c r="A41" s="109"/>
      <c r="B41" s="109"/>
      <c r="C41" s="252"/>
      <c r="D41" s="252"/>
      <c r="E41" s="255"/>
      <c r="F41" s="109"/>
      <c r="G41" s="109"/>
    </row>
    <row r="42" spans="1:7">
      <c r="A42" s="156" t="s">
        <v>60</v>
      </c>
      <c r="B42" s="157"/>
      <c r="C42" s="157"/>
      <c r="D42" s="158"/>
      <c r="E42" s="256"/>
      <c r="F42" s="109"/>
      <c r="G42" s="109"/>
    </row>
    <row r="43" spans="1:7">
      <c r="A43" s="159" t="s">
        <v>1</v>
      </c>
      <c r="B43" s="160" t="s">
        <v>61</v>
      </c>
      <c r="C43" s="161" t="s">
        <v>32</v>
      </c>
      <c r="D43" s="138" t="s">
        <v>62</v>
      </c>
      <c r="E43" s="109"/>
      <c r="F43" s="109"/>
      <c r="G43" s="109"/>
    </row>
    <row r="44" spans="1:7">
      <c r="A44" s="162">
        <v>1</v>
      </c>
      <c r="B44" s="126" t="s">
        <v>63</v>
      </c>
      <c r="C44" s="126" t="s">
        <v>64</v>
      </c>
      <c r="D44" s="138">
        <v>1200</v>
      </c>
      <c r="E44" s="109"/>
      <c r="F44" s="109"/>
      <c r="G44" s="109"/>
    </row>
    <row r="45" ht="14.25" spans="1:7">
      <c r="A45" s="134" t="s">
        <v>29</v>
      </c>
      <c r="B45" s="135"/>
      <c r="C45" s="135"/>
      <c r="D45" s="155">
        <v>1200</v>
      </c>
      <c r="E45" s="109"/>
      <c r="F45" s="109"/>
      <c r="G45" s="109"/>
    </row>
  </sheetData>
  <mergeCells count="11">
    <mergeCell ref="A2:G2"/>
    <mergeCell ref="D3:G3"/>
    <mergeCell ref="A16:C16"/>
    <mergeCell ref="A39:C39"/>
    <mergeCell ref="A42:C42"/>
    <mergeCell ref="A45:C45"/>
    <mergeCell ref="A3:A4"/>
    <mergeCell ref="B3:B4"/>
    <mergeCell ref="C3:C4"/>
    <mergeCell ref="F21:F27"/>
    <mergeCell ref="F28:F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16" workbookViewId="0">
      <selection activeCell="H45" sqref="H45"/>
    </sheetView>
  </sheetViews>
  <sheetFormatPr defaultColWidth="9" defaultRowHeight="13.5" outlineLevelCol="6"/>
  <cols>
    <col min="1" max="1" width="9" style="193"/>
    <col min="2" max="2" width="13.775" style="193" customWidth="1"/>
    <col min="3" max="3" width="19.8833333333333" style="193" customWidth="1"/>
    <col min="4" max="7" width="9" style="193"/>
  </cols>
  <sheetData>
    <row r="1" ht="14.25"/>
    <row r="2" spans="1:7">
      <c r="A2" s="194" t="s">
        <v>0</v>
      </c>
      <c r="B2" s="195"/>
      <c r="C2" s="195"/>
      <c r="D2" s="195"/>
      <c r="E2" s="195"/>
      <c r="F2" s="195"/>
      <c r="G2" s="196"/>
    </row>
    <row r="3" spans="1:7">
      <c r="A3" s="197" t="s">
        <v>1</v>
      </c>
      <c r="B3" s="198" t="s">
        <v>2</v>
      </c>
      <c r="C3" s="198" t="s">
        <v>3</v>
      </c>
      <c r="D3" s="198" t="s">
        <v>4</v>
      </c>
      <c r="E3" s="198"/>
      <c r="F3" s="198"/>
      <c r="G3" s="199"/>
    </row>
    <row r="4" spans="1:7">
      <c r="A4" s="197"/>
      <c r="B4" s="198"/>
      <c r="C4" s="198"/>
      <c r="D4" s="200" t="s">
        <v>5</v>
      </c>
      <c r="E4" s="200" t="s">
        <v>6</v>
      </c>
      <c r="F4" s="200" t="s">
        <v>7</v>
      </c>
      <c r="G4" s="199" t="s">
        <v>8</v>
      </c>
    </row>
    <row r="5" spans="1:7">
      <c r="A5" s="201">
        <v>1</v>
      </c>
      <c r="B5" s="202" t="s">
        <v>65</v>
      </c>
      <c r="C5" s="202" t="s">
        <v>66</v>
      </c>
      <c r="D5" s="203">
        <v>4</v>
      </c>
      <c r="E5" s="203">
        <v>151</v>
      </c>
      <c r="F5" s="203">
        <v>91</v>
      </c>
      <c r="G5" s="204">
        <f t="shared" ref="G5:G12" si="0">SUM(D5:F5)</f>
        <v>246</v>
      </c>
    </row>
    <row r="6" spans="1:7">
      <c r="A6" s="201">
        <v>2</v>
      </c>
      <c r="B6" s="202" t="s">
        <v>67</v>
      </c>
      <c r="C6" s="202" t="s">
        <v>68</v>
      </c>
      <c r="D6" s="203">
        <v>1</v>
      </c>
      <c r="E6" s="203">
        <v>6</v>
      </c>
      <c r="F6" s="203">
        <v>28</v>
      </c>
      <c r="G6" s="204">
        <f t="shared" si="0"/>
        <v>35</v>
      </c>
    </row>
    <row r="7" spans="1:7">
      <c r="A7" s="201">
        <v>3</v>
      </c>
      <c r="B7" s="202" t="s">
        <v>69</v>
      </c>
      <c r="C7" s="202" t="s">
        <v>70</v>
      </c>
      <c r="D7" s="203">
        <v>2</v>
      </c>
      <c r="E7" s="203">
        <v>56</v>
      </c>
      <c r="F7" s="203">
        <v>266</v>
      </c>
      <c r="G7" s="204">
        <f t="shared" si="0"/>
        <v>324</v>
      </c>
    </row>
    <row r="8" spans="1:7">
      <c r="A8" s="201">
        <v>4</v>
      </c>
      <c r="B8" s="202" t="s">
        <v>71</v>
      </c>
      <c r="C8" s="202" t="s">
        <v>72</v>
      </c>
      <c r="D8" s="203">
        <v>2</v>
      </c>
      <c r="E8" s="203">
        <v>35</v>
      </c>
      <c r="F8" s="203">
        <v>96</v>
      </c>
      <c r="G8" s="204">
        <f t="shared" si="0"/>
        <v>133</v>
      </c>
    </row>
    <row r="9" spans="1:7">
      <c r="A9" s="201">
        <v>5</v>
      </c>
      <c r="B9" s="202" t="s">
        <v>73</v>
      </c>
      <c r="C9" s="202" t="s">
        <v>74</v>
      </c>
      <c r="D9" s="203">
        <v>1</v>
      </c>
      <c r="E9" s="203">
        <v>25</v>
      </c>
      <c r="F9" s="203">
        <v>58</v>
      </c>
      <c r="G9" s="204">
        <f t="shared" si="0"/>
        <v>84</v>
      </c>
    </row>
    <row r="10" spans="1:7">
      <c r="A10" s="201">
        <v>6</v>
      </c>
      <c r="B10" s="202" t="s">
        <v>75</v>
      </c>
      <c r="C10" s="202" t="s">
        <v>76</v>
      </c>
      <c r="D10" s="203">
        <v>61</v>
      </c>
      <c r="E10" s="203">
        <v>146</v>
      </c>
      <c r="F10" s="203">
        <v>3</v>
      </c>
      <c r="G10" s="204">
        <f t="shared" si="0"/>
        <v>210</v>
      </c>
    </row>
    <row r="11" spans="1:7">
      <c r="A11" s="201">
        <v>7</v>
      </c>
      <c r="B11" s="202" t="s">
        <v>77</v>
      </c>
      <c r="C11" s="202" t="s">
        <v>78</v>
      </c>
      <c r="D11" s="205"/>
      <c r="E11" s="205"/>
      <c r="F11" s="203">
        <v>76</v>
      </c>
      <c r="G11" s="204">
        <f t="shared" si="0"/>
        <v>76</v>
      </c>
    </row>
    <row r="12" spans="1:7">
      <c r="A12" s="201">
        <v>8</v>
      </c>
      <c r="B12" s="202" t="s">
        <v>79</v>
      </c>
      <c r="C12" s="202" t="s">
        <v>80</v>
      </c>
      <c r="D12" s="205"/>
      <c r="E12" s="203">
        <v>145</v>
      </c>
      <c r="F12" s="205"/>
      <c r="G12" s="204">
        <f t="shared" si="0"/>
        <v>145</v>
      </c>
    </row>
    <row r="13" spans="1:7">
      <c r="A13" s="201">
        <v>9</v>
      </c>
      <c r="B13" s="202" t="s">
        <v>81</v>
      </c>
      <c r="C13" s="202" t="s">
        <v>82</v>
      </c>
      <c r="D13" s="205"/>
      <c r="E13" s="203">
        <v>100</v>
      </c>
      <c r="F13" s="205"/>
      <c r="G13" s="204">
        <f>SUM(D13:E13)</f>
        <v>100</v>
      </c>
    </row>
    <row r="14" spans="1:7">
      <c r="A14" s="201">
        <v>10</v>
      </c>
      <c r="B14" s="202" t="s">
        <v>21</v>
      </c>
      <c r="C14" s="205" t="s">
        <v>83</v>
      </c>
      <c r="D14" s="205"/>
      <c r="E14" s="205"/>
      <c r="F14" s="203">
        <v>100</v>
      </c>
      <c r="G14" s="204">
        <f t="shared" ref="G14:G16" si="1">SUM(D14:F14)</f>
        <v>100</v>
      </c>
    </row>
    <row r="15" spans="1:7">
      <c r="A15" s="201">
        <v>11</v>
      </c>
      <c r="B15" s="202" t="s">
        <v>23</v>
      </c>
      <c r="C15" s="202" t="s">
        <v>84</v>
      </c>
      <c r="D15" s="205"/>
      <c r="E15" s="205"/>
      <c r="F15" s="203">
        <v>558</v>
      </c>
      <c r="G15" s="204">
        <f t="shared" si="1"/>
        <v>558</v>
      </c>
    </row>
    <row r="16" spans="1:7">
      <c r="A16" s="201">
        <v>12</v>
      </c>
      <c r="B16" s="202" t="s">
        <v>85</v>
      </c>
      <c r="C16" s="202" t="s">
        <v>86</v>
      </c>
      <c r="D16" s="203">
        <v>1</v>
      </c>
      <c r="E16" s="203">
        <v>27</v>
      </c>
      <c r="F16" s="203">
        <v>115</v>
      </c>
      <c r="G16" s="204">
        <f t="shared" si="1"/>
        <v>143</v>
      </c>
    </row>
    <row r="17" ht="14.25" spans="1:7">
      <c r="A17" s="206" t="s">
        <v>29</v>
      </c>
      <c r="B17" s="207"/>
      <c r="C17" s="208"/>
      <c r="D17" s="209">
        <f t="shared" ref="D17:G17" si="2">SUM(D5:D16)</f>
        <v>72</v>
      </c>
      <c r="E17" s="209">
        <f t="shared" si="2"/>
        <v>691</v>
      </c>
      <c r="F17" s="209">
        <f t="shared" si="2"/>
        <v>1391</v>
      </c>
      <c r="G17" s="210">
        <f t="shared" si="2"/>
        <v>2154</v>
      </c>
    </row>
    <row r="19" ht="14.25"/>
    <row r="20" spans="1:7">
      <c r="A20" s="211" t="s">
        <v>30</v>
      </c>
      <c r="B20" s="212"/>
      <c r="C20" s="212"/>
      <c r="D20" s="212"/>
      <c r="E20" s="212"/>
      <c r="F20" s="212"/>
      <c r="G20" s="213"/>
    </row>
    <row r="21" ht="24" spans="1:7">
      <c r="A21" s="197" t="s">
        <v>1</v>
      </c>
      <c r="B21" s="198" t="s">
        <v>31</v>
      </c>
      <c r="C21" s="198" t="s">
        <v>32</v>
      </c>
      <c r="D21" s="214" t="s">
        <v>33</v>
      </c>
      <c r="E21" s="198" t="s">
        <v>34</v>
      </c>
      <c r="F21" s="215" t="s">
        <v>29</v>
      </c>
      <c r="G21" s="216" t="s">
        <v>35</v>
      </c>
    </row>
    <row r="22" spans="1:7">
      <c r="A22" s="217">
        <v>1</v>
      </c>
      <c r="B22" s="148" t="s">
        <v>87</v>
      </c>
      <c r="C22" s="148" t="s">
        <v>88</v>
      </c>
      <c r="D22" s="148">
        <v>19166</v>
      </c>
      <c r="E22" s="148" t="s">
        <v>38</v>
      </c>
      <c r="F22" s="218">
        <f>SUM(D22:D30)</f>
        <v>125817</v>
      </c>
      <c r="G22" s="219"/>
    </row>
    <row r="23" spans="1:7">
      <c r="A23" s="217">
        <v>2</v>
      </c>
      <c r="B23" s="148" t="s">
        <v>89</v>
      </c>
      <c r="C23" s="148" t="s">
        <v>90</v>
      </c>
      <c r="D23" s="148">
        <v>7301</v>
      </c>
      <c r="E23" s="148" t="s">
        <v>38</v>
      </c>
      <c r="F23" s="220"/>
      <c r="G23" s="219"/>
    </row>
    <row r="24" spans="1:7">
      <c r="A24" s="217">
        <v>3</v>
      </c>
      <c r="B24" s="148" t="s">
        <v>69</v>
      </c>
      <c r="C24" s="148" t="s">
        <v>91</v>
      </c>
      <c r="D24" s="148">
        <v>13076</v>
      </c>
      <c r="E24" s="148" t="s">
        <v>38</v>
      </c>
      <c r="F24" s="220"/>
      <c r="G24" s="219"/>
    </row>
    <row r="25" spans="1:7">
      <c r="A25" s="217">
        <v>4</v>
      </c>
      <c r="B25" s="148"/>
      <c r="C25" s="148" t="s">
        <v>92</v>
      </c>
      <c r="D25" s="148">
        <v>25000</v>
      </c>
      <c r="E25" s="148" t="s">
        <v>38</v>
      </c>
      <c r="F25" s="220"/>
      <c r="G25" s="219"/>
    </row>
    <row r="26" spans="1:7">
      <c r="A26" s="217">
        <v>5</v>
      </c>
      <c r="B26" s="148"/>
      <c r="C26" s="148" t="s">
        <v>93</v>
      </c>
      <c r="D26" s="148">
        <v>20000</v>
      </c>
      <c r="E26" s="148" t="s">
        <v>38</v>
      </c>
      <c r="F26" s="220"/>
      <c r="G26" s="219"/>
    </row>
    <row r="27" spans="1:7">
      <c r="A27" s="217">
        <v>6</v>
      </c>
      <c r="B27" s="148"/>
      <c r="C27" s="148" t="s">
        <v>94</v>
      </c>
      <c r="D27" s="148">
        <v>4000</v>
      </c>
      <c r="E27" s="148" t="s">
        <v>38</v>
      </c>
      <c r="F27" s="220"/>
      <c r="G27" s="219"/>
    </row>
    <row r="28" spans="1:7">
      <c r="A28" s="217">
        <v>7</v>
      </c>
      <c r="B28" s="148"/>
      <c r="C28" s="148" t="s">
        <v>95</v>
      </c>
      <c r="D28" s="148">
        <v>14000</v>
      </c>
      <c r="E28" s="148" t="s">
        <v>38</v>
      </c>
      <c r="F28" s="220"/>
      <c r="G28" s="219"/>
    </row>
    <row r="29" spans="1:7">
      <c r="A29" s="217">
        <v>8</v>
      </c>
      <c r="B29" s="148"/>
      <c r="C29" s="148" t="s">
        <v>96</v>
      </c>
      <c r="D29" s="148">
        <v>22774</v>
      </c>
      <c r="E29" s="148" t="s">
        <v>38</v>
      </c>
      <c r="F29" s="220"/>
      <c r="G29" s="219"/>
    </row>
    <row r="30" ht="24" spans="1:7">
      <c r="A30" s="217">
        <v>9</v>
      </c>
      <c r="B30" s="148" t="s">
        <v>97</v>
      </c>
      <c r="C30" s="148" t="s">
        <v>98</v>
      </c>
      <c r="D30" s="148">
        <v>500</v>
      </c>
      <c r="E30" s="148" t="s">
        <v>38</v>
      </c>
      <c r="F30" s="221"/>
      <c r="G30" s="219"/>
    </row>
    <row r="31" spans="1:7">
      <c r="A31" s="217">
        <v>10</v>
      </c>
      <c r="B31" s="148" t="s">
        <v>71</v>
      </c>
      <c r="C31" s="148" t="s">
        <v>99</v>
      </c>
      <c r="D31" s="148">
        <v>3053</v>
      </c>
      <c r="E31" s="148" t="s">
        <v>100</v>
      </c>
      <c r="F31" s="148">
        <f>SUM(D31)</f>
        <v>3053</v>
      </c>
      <c r="G31" s="219"/>
    </row>
    <row r="32" spans="1:7">
      <c r="A32" s="217">
        <v>11</v>
      </c>
      <c r="B32" s="148" t="s">
        <v>101</v>
      </c>
      <c r="C32" s="148" t="s">
        <v>102</v>
      </c>
      <c r="D32" s="148">
        <v>1690</v>
      </c>
      <c r="E32" s="148" t="s">
        <v>49</v>
      </c>
      <c r="F32" s="218">
        <f>SUM(D32:D43)</f>
        <v>16592</v>
      </c>
      <c r="G32" s="219"/>
    </row>
    <row r="33" spans="1:7">
      <c r="A33" s="217">
        <v>12</v>
      </c>
      <c r="B33" s="148" t="s">
        <v>65</v>
      </c>
      <c r="C33" s="148" t="s">
        <v>103</v>
      </c>
      <c r="D33" s="148">
        <v>1114</v>
      </c>
      <c r="E33" s="148" t="s">
        <v>49</v>
      </c>
      <c r="F33" s="220"/>
      <c r="G33" s="219"/>
    </row>
    <row r="34" spans="1:7">
      <c r="A34" s="217">
        <v>13</v>
      </c>
      <c r="B34" s="148" t="s">
        <v>104</v>
      </c>
      <c r="C34" s="148" t="s">
        <v>105</v>
      </c>
      <c r="D34" s="148">
        <v>37</v>
      </c>
      <c r="E34" s="148" t="s">
        <v>49</v>
      </c>
      <c r="F34" s="220"/>
      <c r="G34" s="219"/>
    </row>
    <row r="35" spans="1:7">
      <c r="A35" s="217">
        <v>14</v>
      </c>
      <c r="B35" s="148"/>
      <c r="C35" s="148" t="s">
        <v>106</v>
      </c>
      <c r="D35" s="148">
        <v>3000</v>
      </c>
      <c r="E35" s="148" t="s">
        <v>49</v>
      </c>
      <c r="F35" s="220"/>
      <c r="G35" s="219"/>
    </row>
    <row r="36" spans="1:7">
      <c r="A36" s="217">
        <v>15</v>
      </c>
      <c r="B36" s="148"/>
      <c r="C36" s="148" t="s">
        <v>107</v>
      </c>
      <c r="D36" s="148">
        <v>2000</v>
      </c>
      <c r="E36" s="148" t="s">
        <v>49</v>
      </c>
      <c r="F36" s="220"/>
      <c r="G36" s="219"/>
    </row>
    <row r="37" spans="1:7">
      <c r="A37" s="217">
        <v>16</v>
      </c>
      <c r="B37" s="148"/>
      <c r="C37" s="148" t="s">
        <v>108</v>
      </c>
      <c r="D37" s="148">
        <v>2000</v>
      </c>
      <c r="E37" s="148" t="s">
        <v>49</v>
      </c>
      <c r="F37" s="220"/>
      <c r="G37" s="219"/>
    </row>
    <row r="38" spans="1:7">
      <c r="A38" s="217">
        <v>17</v>
      </c>
      <c r="B38" s="148"/>
      <c r="C38" s="148" t="s">
        <v>109</v>
      </c>
      <c r="D38" s="148">
        <v>600</v>
      </c>
      <c r="E38" s="148" t="s">
        <v>49</v>
      </c>
      <c r="F38" s="220"/>
      <c r="G38" s="219"/>
    </row>
    <row r="39" spans="1:7">
      <c r="A39" s="217">
        <v>18</v>
      </c>
      <c r="B39" s="148"/>
      <c r="C39" s="148" t="s">
        <v>110</v>
      </c>
      <c r="D39" s="148">
        <v>200</v>
      </c>
      <c r="E39" s="148" t="s">
        <v>49</v>
      </c>
      <c r="F39" s="220"/>
      <c r="G39" s="219"/>
    </row>
    <row r="40" spans="1:7">
      <c r="A40" s="217">
        <v>19</v>
      </c>
      <c r="B40" s="148"/>
      <c r="C40" s="148" t="s">
        <v>111</v>
      </c>
      <c r="D40" s="148">
        <v>3300</v>
      </c>
      <c r="E40" s="148" t="s">
        <v>49</v>
      </c>
      <c r="F40" s="220"/>
      <c r="G40" s="219"/>
    </row>
    <row r="41" spans="1:7">
      <c r="A41" s="217">
        <v>20</v>
      </c>
      <c r="B41" s="148"/>
      <c r="C41" s="148" t="s">
        <v>112</v>
      </c>
      <c r="D41" s="148">
        <v>1102</v>
      </c>
      <c r="E41" s="148" t="s">
        <v>49</v>
      </c>
      <c r="F41" s="220"/>
      <c r="G41" s="219"/>
    </row>
    <row r="42" spans="1:7">
      <c r="A42" s="217">
        <v>21</v>
      </c>
      <c r="B42" s="148"/>
      <c r="C42" s="148" t="s">
        <v>113</v>
      </c>
      <c r="D42" s="148">
        <v>500</v>
      </c>
      <c r="E42" s="148" t="s">
        <v>49</v>
      </c>
      <c r="F42" s="220"/>
      <c r="G42" s="219"/>
    </row>
    <row r="43" spans="1:7">
      <c r="A43" s="217">
        <v>22</v>
      </c>
      <c r="B43" s="148"/>
      <c r="C43" s="148" t="s">
        <v>114</v>
      </c>
      <c r="D43" s="148">
        <v>1049</v>
      </c>
      <c r="E43" s="148" t="s">
        <v>49</v>
      </c>
      <c r="F43" s="221"/>
      <c r="G43" s="219"/>
    </row>
    <row r="44" ht="14.25" spans="1:7">
      <c r="A44" s="222" t="s">
        <v>29</v>
      </c>
      <c r="B44" s="223"/>
      <c r="C44" s="224"/>
      <c r="D44" s="225">
        <f>SUM(D22:D43)</f>
        <v>145462</v>
      </c>
      <c r="E44" s="225"/>
      <c r="F44" s="225"/>
      <c r="G44" s="210"/>
    </row>
    <row r="45" ht="14.25" spans="1:7">
      <c r="D45" s="226"/>
      <c r="E45" s="227"/>
    </row>
    <row r="46" spans="1:7">
      <c r="A46" s="156" t="s">
        <v>60</v>
      </c>
      <c r="B46" s="157"/>
      <c r="C46" s="157"/>
      <c r="D46" s="158"/>
      <c r="E46" s="228"/>
    </row>
    <row r="47" spans="1:7">
      <c r="A47" s="159" t="s">
        <v>1</v>
      </c>
      <c r="B47" s="160" t="s">
        <v>61</v>
      </c>
      <c r="C47" s="161" t="s">
        <v>32</v>
      </c>
      <c r="D47" s="138" t="s">
        <v>62</v>
      </c>
      <c r="E47" s="228"/>
    </row>
    <row r="48" spans="1:7">
      <c r="A48" s="162">
        <v>1</v>
      </c>
      <c r="B48" s="126" t="s">
        <v>115</v>
      </c>
      <c r="C48" s="126" t="s">
        <v>116</v>
      </c>
      <c r="D48" s="138">
        <v>2780</v>
      </c>
      <c r="E48" s="228"/>
    </row>
    <row r="49" ht="14.25" spans="1:4">
      <c r="A49" s="134" t="s">
        <v>29</v>
      </c>
      <c r="B49" s="135"/>
      <c r="C49" s="135"/>
      <c r="D49" s="155">
        <v>2780</v>
      </c>
    </row>
  </sheetData>
  <mergeCells count="12">
    <mergeCell ref="A2:G2"/>
    <mergeCell ref="D3:G3"/>
    <mergeCell ref="A17:C17"/>
    <mergeCell ref="A20:G20"/>
    <mergeCell ref="A44:C44"/>
    <mergeCell ref="A46:C46"/>
    <mergeCell ref="A49:C49"/>
    <mergeCell ref="A3:A4"/>
    <mergeCell ref="B3:B4"/>
    <mergeCell ref="C3:C4"/>
    <mergeCell ref="F22:F30"/>
    <mergeCell ref="F32:F4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0"/>
  <sheetViews>
    <sheetView topLeftCell="A44" workbookViewId="0">
      <selection activeCell="N29" sqref="N29"/>
    </sheetView>
  </sheetViews>
  <sheetFormatPr defaultColWidth="9" defaultRowHeight="13.5"/>
  <cols>
    <col min="1" max="1" width="9" style="109"/>
    <col min="2" max="2" width="13.6666666666667" style="109" customWidth="1"/>
    <col min="3" max="3" width="18.2166666666667" style="109" customWidth="1"/>
    <col min="4" max="7" width="9" style="109"/>
  </cols>
  <sheetData>
    <row r="2" ht="14.25" spans="1:8">
      <c r="A2" s="110" t="s">
        <v>0</v>
      </c>
      <c r="B2" s="111"/>
      <c r="C2" s="111"/>
      <c r="D2" s="111"/>
      <c r="E2" s="111"/>
      <c r="F2" s="111"/>
      <c r="G2" s="111"/>
      <c r="H2" s="111"/>
    </row>
    <row r="3" spans="1:8">
      <c r="A3" s="112" t="s">
        <v>1</v>
      </c>
      <c r="B3" s="113" t="s">
        <v>2</v>
      </c>
      <c r="C3" s="113" t="s">
        <v>3</v>
      </c>
      <c r="D3" s="113" t="s">
        <v>4</v>
      </c>
      <c r="E3" s="113"/>
      <c r="F3" s="113"/>
      <c r="G3" s="113"/>
      <c r="H3" s="114" t="s">
        <v>35</v>
      </c>
    </row>
    <row r="4" spans="1:8">
      <c r="A4" s="115"/>
      <c r="B4" s="116"/>
      <c r="C4" s="116"/>
      <c r="D4" s="117" t="s">
        <v>5</v>
      </c>
      <c r="E4" s="117" t="s">
        <v>6</v>
      </c>
      <c r="F4" s="117" t="s">
        <v>7</v>
      </c>
      <c r="G4" s="116" t="s">
        <v>8</v>
      </c>
      <c r="H4" s="118"/>
    </row>
    <row r="5" spans="1:8">
      <c r="A5" s="119">
        <v>1</v>
      </c>
      <c r="B5" s="120" t="s">
        <v>117</v>
      </c>
      <c r="C5" s="120" t="s">
        <v>118</v>
      </c>
      <c r="D5" s="121"/>
      <c r="E5" s="121">
        <v>19</v>
      </c>
      <c r="F5" s="121">
        <v>379</v>
      </c>
      <c r="G5" s="122">
        <f t="shared" ref="G5:G26" si="0">SUM(D5:F5)</f>
        <v>398</v>
      </c>
      <c r="H5" s="123"/>
    </row>
    <row r="6" spans="1:8">
      <c r="A6" s="119">
        <v>2</v>
      </c>
      <c r="B6" s="120" t="s">
        <v>69</v>
      </c>
      <c r="C6" s="120" t="s">
        <v>119</v>
      </c>
      <c r="D6" s="121"/>
      <c r="E6" s="121"/>
      <c r="F6" s="121">
        <v>50</v>
      </c>
      <c r="G6" s="121">
        <f t="shared" si="0"/>
        <v>50</v>
      </c>
      <c r="H6" s="123"/>
    </row>
    <row r="7" spans="1:8">
      <c r="A7" s="119">
        <v>3</v>
      </c>
      <c r="B7" s="120" t="s">
        <v>120</v>
      </c>
      <c r="C7" s="120" t="s">
        <v>121</v>
      </c>
      <c r="D7" s="121">
        <v>3</v>
      </c>
      <c r="E7" s="121">
        <v>43</v>
      </c>
      <c r="F7" s="121">
        <v>108</v>
      </c>
      <c r="G7" s="121">
        <f t="shared" si="0"/>
        <v>154</v>
      </c>
      <c r="H7" s="123"/>
    </row>
    <row r="8" spans="1:8">
      <c r="A8" s="119">
        <v>4</v>
      </c>
      <c r="B8" s="120" t="s">
        <v>75</v>
      </c>
      <c r="C8" s="120" t="s">
        <v>122</v>
      </c>
      <c r="D8" s="121"/>
      <c r="E8" s="121">
        <v>36</v>
      </c>
      <c r="F8" s="121">
        <v>195</v>
      </c>
      <c r="G8" s="121">
        <f t="shared" si="0"/>
        <v>231</v>
      </c>
      <c r="H8" s="123"/>
    </row>
    <row r="9" spans="1:8">
      <c r="A9" s="119">
        <v>5</v>
      </c>
      <c r="B9" s="120" t="s">
        <v>123</v>
      </c>
      <c r="C9" s="120" t="s">
        <v>124</v>
      </c>
      <c r="D9" s="121"/>
      <c r="E9" s="121">
        <v>195</v>
      </c>
      <c r="F9" s="121">
        <v>1</v>
      </c>
      <c r="G9" s="121">
        <f t="shared" si="0"/>
        <v>196</v>
      </c>
      <c r="H9" s="123"/>
    </row>
    <row r="10" spans="1:8">
      <c r="A10" s="119">
        <v>6</v>
      </c>
      <c r="B10" s="120" t="s">
        <v>125</v>
      </c>
      <c r="C10" s="120" t="s">
        <v>126</v>
      </c>
      <c r="D10" s="121"/>
      <c r="E10" s="121">
        <v>3</v>
      </c>
      <c r="F10" s="121">
        <v>33</v>
      </c>
      <c r="G10" s="122">
        <f t="shared" si="0"/>
        <v>36</v>
      </c>
      <c r="H10" s="123"/>
    </row>
    <row r="11" spans="1:8">
      <c r="A11" s="119">
        <v>7</v>
      </c>
      <c r="B11" s="120" t="s">
        <v>127</v>
      </c>
      <c r="C11" s="120" t="s">
        <v>128</v>
      </c>
      <c r="D11" s="121"/>
      <c r="E11" s="121"/>
      <c r="F11" s="121">
        <v>55</v>
      </c>
      <c r="G11" s="121">
        <f t="shared" si="0"/>
        <v>55</v>
      </c>
      <c r="H11" s="123"/>
    </row>
    <row r="12" spans="1:8">
      <c r="A12" s="119">
        <v>8</v>
      </c>
      <c r="B12" s="120" t="s">
        <v>129</v>
      </c>
      <c r="C12" s="120" t="s">
        <v>130</v>
      </c>
      <c r="D12" s="121">
        <v>15</v>
      </c>
      <c r="E12" s="121">
        <v>127</v>
      </c>
      <c r="F12" s="121">
        <v>123</v>
      </c>
      <c r="G12" s="121">
        <f t="shared" si="0"/>
        <v>265</v>
      </c>
      <c r="H12" s="123"/>
    </row>
    <row r="13" spans="1:8">
      <c r="A13" s="119">
        <v>9</v>
      </c>
      <c r="B13" s="120" t="s">
        <v>131</v>
      </c>
      <c r="C13" s="120" t="s">
        <v>132</v>
      </c>
      <c r="D13" s="121"/>
      <c r="E13" s="121">
        <v>34</v>
      </c>
      <c r="F13" s="121">
        <v>47</v>
      </c>
      <c r="G13" s="121">
        <f t="shared" si="0"/>
        <v>81</v>
      </c>
      <c r="H13" s="123"/>
    </row>
    <row r="14" spans="1:8">
      <c r="A14" s="119">
        <v>10</v>
      </c>
      <c r="B14" s="120" t="s">
        <v>133</v>
      </c>
      <c r="C14" s="120" t="s">
        <v>134</v>
      </c>
      <c r="D14" s="121"/>
      <c r="E14" s="121">
        <v>275</v>
      </c>
      <c r="F14" s="121"/>
      <c r="G14" s="121">
        <f t="shared" si="0"/>
        <v>275</v>
      </c>
      <c r="H14" s="123"/>
    </row>
    <row r="15" spans="1:8">
      <c r="A15" s="119">
        <v>11</v>
      </c>
      <c r="B15" s="120" t="s">
        <v>135</v>
      </c>
      <c r="C15" s="120" t="s">
        <v>136</v>
      </c>
      <c r="D15" s="121">
        <v>6</v>
      </c>
      <c r="E15" s="121">
        <v>91</v>
      </c>
      <c r="F15" s="121">
        <v>66</v>
      </c>
      <c r="G15" s="121">
        <f t="shared" si="0"/>
        <v>163</v>
      </c>
      <c r="H15" s="123"/>
    </row>
    <row r="16" spans="1:8">
      <c r="A16" s="119">
        <v>12</v>
      </c>
      <c r="B16" s="120" t="s">
        <v>137</v>
      </c>
      <c r="C16" s="120" t="s">
        <v>138</v>
      </c>
      <c r="D16" s="121"/>
      <c r="E16" s="121">
        <v>15</v>
      </c>
      <c r="F16" s="121">
        <v>129</v>
      </c>
      <c r="G16" s="121">
        <f t="shared" si="0"/>
        <v>144</v>
      </c>
      <c r="H16" s="123"/>
    </row>
    <row r="17" spans="1:8">
      <c r="A17" s="119">
        <v>13</v>
      </c>
      <c r="B17" s="120" t="s">
        <v>139</v>
      </c>
      <c r="C17" s="120" t="s">
        <v>140</v>
      </c>
      <c r="D17" s="121">
        <v>2</v>
      </c>
      <c r="E17" s="121">
        <v>95</v>
      </c>
      <c r="F17" s="121">
        <v>111</v>
      </c>
      <c r="G17" s="121">
        <f t="shared" si="0"/>
        <v>208</v>
      </c>
      <c r="H17" s="123"/>
    </row>
    <row r="18" spans="1:8">
      <c r="A18" s="119">
        <v>14</v>
      </c>
      <c r="B18" s="120" t="s">
        <v>141</v>
      </c>
      <c r="C18" s="120" t="s">
        <v>142</v>
      </c>
      <c r="D18" s="121">
        <v>4</v>
      </c>
      <c r="E18" s="121">
        <v>238</v>
      </c>
      <c r="F18" s="121">
        <v>181</v>
      </c>
      <c r="G18" s="122">
        <f t="shared" si="0"/>
        <v>423</v>
      </c>
      <c r="H18" s="123"/>
    </row>
    <row r="19" spans="1:8">
      <c r="A19" s="119">
        <v>15</v>
      </c>
      <c r="B19" s="120" t="s">
        <v>143</v>
      </c>
      <c r="C19" s="120" t="s">
        <v>144</v>
      </c>
      <c r="D19" s="121">
        <v>14</v>
      </c>
      <c r="E19" s="121">
        <v>31</v>
      </c>
      <c r="F19" s="121"/>
      <c r="G19" s="121">
        <f t="shared" si="0"/>
        <v>45</v>
      </c>
      <c r="H19" s="123"/>
    </row>
    <row r="20" spans="1:8">
      <c r="A20" s="119">
        <v>16</v>
      </c>
      <c r="B20" s="120" t="s">
        <v>145</v>
      </c>
      <c r="C20" s="120" t="s">
        <v>146</v>
      </c>
      <c r="D20" s="121">
        <v>1</v>
      </c>
      <c r="E20" s="121">
        <v>87</v>
      </c>
      <c r="F20" s="121">
        <v>10</v>
      </c>
      <c r="G20" s="121">
        <f t="shared" si="0"/>
        <v>98</v>
      </c>
      <c r="H20" s="123"/>
    </row>
    <row r="21" spans="1:8">
      <c r="A21" s="119">
        <v>17</v>
      </c>
      <c r="B21" s="124" t="s">
        <v>27</v>
      </c>
      <c r="C21" s="125" t="s">
        <v>146</v>
      </c>
      <c r="D21" s="126"/>
      <c r="E21" s="121">
        <v>437</v>
      </c>
      <c r="F21" s="126"/>
      <c r="G21" s="121">
        <f t="shared" si="0"/>
        <v>437</v>
      </c>
      <c r="H21" s="123"/>
    </row>
    <row r="22" ht="16.5" spans="1:8">
      <c r="A22" s="119">
        <v>18</v>
      </c>
      <c r="B22" s="127" t="s">
        <v>147</v>
      </c>
      <c r="C22" s="128" t="s">
        <v>148</v>
      </c>
      <c r="D22" s="126"/>
      <c r="E22" s="129">
        <v>345</v>
      </c>
      <c r="F22" s="126"/>
      <c r="G22" s="121">
        <f t="shared" si="0"/>
        <v>345</v>
      </c>
      <c r="H22" s="123"/>
    </row>
    <row r="23" ht="16.5" spans="1:8">
      <c r="A23" s="119">
        <v>19</v>
      </c>
      <c r="B23" s="127" t="s">
        <v>149</v>
      </c>
      <c r="C23" s="128" t="s">
        <v>150</v>
      </c>
      <c r="D23" s="126"/>
      <c r="E23" s="129">
        <v>16</v>
      </c>
      <c r="F23" s="126"/>
      <c r="G23" s="121">
        <f t="shared" si="0"/>
        <v>16</v>
      </c>
      <c r="H23" s="123"/>
    </row>
    <row r="24" ht="16.5" spans="1:8">
      <c r="A24" s="119">
        <v>20</v>
      </c>
      <c r="B24" s="126" t="s">
        <v>67</v>
      </c>
      <c r="C24" s="128" t="s">
        <v>151</v>
      </c>
      <c r="D24" s="126"/>
      <c r="E24" s="126">
        <v>80</v>
      </c>
      <c r="F24" s="126"/>
      <c r="G24" s="121">
        <f t="shared" si="0"/>
        <v>80</v>
      </c>
      <c r="H24" s="123"/>
    </row>
    <row r="25" ht="16.5" spans="1:8">
      <c r="A25" s="119">
        <v>21</v>
      </c>
      <c r="B25" s="126" t="s">
        <v>152</v>
      </c>
      <c r="C25" s="128" t="s">
        <v>153</v>
      </c>
      <c r="D25" s="126"/>
      <c r="E25" s="126">
        <v>50</v>
      </c>
      <c r="F25" s="126"/>
      <c r="G25" s="121">
        <f t="shared" si="0"/>
        <v>50</v>
      </c>
      <c r="H25" s="123"/>
    </row>
    <row r="26" ht="16.5" spans="1:8">
      <c r="A26" s="130">
        <v>22</v>
      </c>
      <c r="B26" s="131" t="s">
        <v>154</v>
      </c>
      <c r="C26" s="132" t="s">
        <v>155</v>
      </c>
      <c r="D26" s="131"/>
      <c r="E26" s="131"/>
      <c r="F26" s="131">
        <v>95</v>
      </c>
      <c r="G26" s="133">
        <f t="shared" si="0"/>
        <v>95</v>
      </c>
      <c r="H26" s="132" t="s">
        <v>156</v>
      </c>
    </row>
    <row r="27" ht="14.25" spans="1:8">
      <c r="A27" s="134" t="s">
        <v>29</v>
      </c>
      <c r="B27" s="135"/>
      <c r="C27" s="135"/>
      <c r="D27" s="135">
        <f t="shared" ref="D27:G27" si="1">SUM(D5:D26)</f>
        <v>45</v>
      </c>
      <c r="E27" s="135">
        <f t="shared" si="1"/>
        <v>2217</v>
      </c>
      <c r="F27" s="135">
        <f t="shared" si="1"/>
        <v>1583</v>
      </c>
      <c r="G27" s="135">
        <f t="shared" si="1"/>
        <v>3845</v>
      </c>
      <c r="H27" s="136"/>
    </row>
    <row r="29" ht="14.25"/>
    <row r="30" spans="1:8">
      <c r="A30" s="112" t="s">
        <v>30</v>
      </c>
      <c r="B30" s="113"/>
      <c r="C30" s="113"/>
      <c r="D30" s="113"/>
      <c r="E30" s="113"/>
      <c r="F30" s="113"/>
      <c r="G30" s="114"/>
    </row>
    <row r="31" ht="24" spans="1:8">
      <c r="A31" s="115" t="s">
        <v>1</v>
      </c>
      <c r="B31" s="116" t="s">
        <v>31</v>
      </c>
      <c r="C31" s="116" t="s">
        <v>32</v>
      </c>
      <c r="D31" s="137" t="s">
        <v>33</v>
      </c>
      <c r="E31" s="116" t="s">
        <v>34</v>
      </c>
      <c r="F31" s="116" t="s">
        <v>29</v>
      </c>
      <c r="G31" s="138" t="s">
        <v>35</v>
      </c>
    </row>
    <row r="32" spans="1:8">
      <c r="A32" s="119">
        <v>1</v>
      </c>
      <c r="B32" s="139" t="s">
        <v>157</v>
      </c>
      <c r="C32" s="139" t="s">
        <v>158</v>
      </c>
      <c r="D32" s="116">
        <v>3689</v>
      </c>
      <c r="E32" s="116" t="s">
        <v>38</v>
      </c>
      <c r="F32" s="140">
        <f>SUM(D32:D43)</f>
        <v>131695</v>
      </c>
      <c r="G32" s="138"/>
    </row>
    <row r="33" spans="1:7">
      <c r="A33" s="119">
        <v>2</v>
      </c>
      <c r="B33" s="139" t="s">
        <v>159</v>
      </c>
      <c r="C33" s="139" t="s">
        <v>160</v>
      </c>
      <c r="D33" s="141">
        <v>17380</v>
      </c>
      <c r="E33" s="126" t="s">
        <v>38</v>
      </c>
      <c r="F33" s="142"/>
      <c r="G33" s="138"/>
    </row>
    <row r="34" ht="24" spans="1:7">
      <c r="A34" s="119">
        <v>3</v>
      </c>
      <c r="B34" s="139" t="s">
        <v>161</v>
      </c>
      <c r="C34" s="139" t="s">
        <v>162</v>
      </c>
      <c r="D34" s="141">
        <v>8309</v>
      </c>
      <c r="E34" s="126" t="s">
        <v>38</v>
      </c>
      <c r="F34" s="142"/>
      <c r="G34" s="138"/>
    </row>
    <row r="35" spans="1:7">
      <c r="A35" s="119">
        <v>4</v>
      </c>
      <c r="B35" s="139" t="s">
        <v>163</v>
      </c>
      <c r="C35" s="139" t="s">
        <v>164</v>
      </c>
      <c r="D35" s="141">
        <v>804</v>
      </c>
      <c r="E35" s="126" t="s">
        <v>38</v>
      </c>
      <c r="F35" s="142"/>
      <c r="G35" s="138"/>
    </row>
    <row r="36" spans="1:7">
      <c r="A36" s="119">
        <v>5</v>
      </c>
      <c r="B36" s="143" t="s">
        <v>46</v>
      </c>
      <c r="C36" s="144">
        <v>16500</v>
      </c>
      <c r="D36" s="144">
        <v>16500</v>
      </c>
      <c r="E36" s="126" t="s">
        <v>38</v>
      </c>
      <c r="F36" s="142"/>
      <c r="G36" s="138"/>
    </row>
    <row r="37" spans="1:7">
      <c r="A37" s="119">
        <v>6</v>
      </c>
      <c r="B37" s="143" t="s">
        <v>165</v>
      </c>
      <c r="C37" s="144">
        <v>5561</v>
      </c>
      <c r="D37" s="144">
        <v>5561</v>
      </c>
      <c r="E37" s="126" t="s">
        <v>38</v>
      </c>
      <c r="F37" s="142"/>
      <c r="G37" s="138"/>
    </row>
    <row r="38" spans="1:7">
      <c r="A38" s="119">
        <v>7</v>
      </c>
      <c r="B38" s="139" t="s">
        <v>23</v>
      </c>
      <c r="C38" s="139" t="s">
        <v>166</v>
      </c>
      <c r="D38" s="144">
        <v>65576</v>
      </c>
      <c r="E38" s="116" t="s">
        <v>38</v>
      </c>
      <c r="F38" s="142"/>
      <c r="G38" s="138"/>
    </row>
    <row r="39" spans="1:7">
      <c r="A39" s="119">
        <v>8</v>
      </c>
      <c r="B39" s="139" t="s">
        <v>141</v>
      </c>
      <c r="C39" s="139" t="s">
        <v>167</v>
      </c>
      <c r="D39" s="141">
        <v>1322</v>
      </c>
      <c r="E39" s="126" t="s">
        <v>38</v>
      </c>
      <c r="F39" s="142"/>
      <c r="G39" s="138"/>
    </row>
    <row r="40" spans="1:7">
      <c r="A40" s="119">
        <v>9</v>
      </c>
      <c r="B40" s="139" t="s">
        <v>147</v>
      </c>
      <c r="C40" s="139" t="s">
        <v>168</v>
      </c>
      <c r="D40" s="141">
        <v>2254</v>
      </c>
      <c r="E40" s="116" t="s">
        <v>38</v>
      </c>
      <c r="F40" s="142"/>
      <c r="G40" s="138"/>
    </row>
    <row r="41" spans="1:7">
      <c r="A41" s="119">
        <v>10</v>
      </c>
      <c r="B41" s="126"/>
      <c r="C41" s="126" t="s">
        <v>169</v>
      </c>
      <c r="D41" s="116">
        <v>1300</v>
      </c>
      <c r="E41" s="116" t="s">
        <v>38</v>
      </c>
      <c r="F41" s="142"/>
      <c r="G41" s="138"/>
    </row>
    <row r="42" spans="1:7">
      <c r="A42" s="119">
        <v>11</v>
      </c>
      <c r="B42" s="139" t="s">
        <v>133</v>
      </c>
      <c r="C42" s="139" t="s">
        <v>170</v>
      </c>
      <c r="D42" s="141">
        <v>3000</v>
      </c>
      <c r="E42" s="126" t="s">
        <v>38</v>
      </c>
      <c r="F42" s="142"/>
      <c r="G42" s="138"/>
    </row>
    <row r="43" spans="1:7">
      <c r="A43" s="130">
        <v>12</v>
      </c>
      <c r="B43" s="145" t="s">
        <v>171</v>
      </c>
      <c r="C43" s="145" t="s">
        <v>172</v>
      </c>
      <c r="D43" s="146">
        <v>6000</v>
      </c>
      <c r="E43" s="131" t="s">
        <v>38</v>
      </c>
      <c r="F43" s="142"/>
      <c r="G43" s="138"/>
    </row>
    <row r="44" spans="1:7">
      <c r="A44" s="119">
        <v>13</v>
      </c>
      <c r="B44" s="139" t="s">
        <v>117</v>
      </c>
      <c r="C44" s="139" t="s">
        <v>173</v>
      </c>
      <c r="D44" s="141">
        <v>1102</v>
      </c>
      <c r="E44" s="126" t="s">
        <v>100</v>
      </c>
      <c r="F44" s="140">
        <f>SUM(D44:D47)</f>
        <v>3998</v>
      </c>
      <c r="G44" s="138"/>
    </row>
    <row r="45" spans="1:7">
      <c r="A45" s="119">
        <v>14</v>
      </c>
      <c r="B45" s="139" t="s">
        <v>137</v>
      </c>
      <c r="C45" s="139" t="s">
        <v>174</v>
      </c>
      <c r="D45" s="141">
        <v>896</v>
      </c>
      <c r="E45" s="126" t="s">
        <v>100</v>
      </c>
      <c r="F45" s="142"/>
      <c r="G45" s="138"/>
    </row>
    <row r="46" ht="16.5" spans="1:7">
      <c r="A46" s="119">
        <v>15</v>
      </c>
      <c r="B46" s="126"/>
      <c r="C46" s="127" t="s">
        <v>175</v>
      </c>
      <c r="D46" s="127">
        <v>1800</v>
      </c>
      <c r="E46" s="126" t="s">
        <v>100</v>
      </c>
      <c r="F46" s="142"/>
      <c r="G46" s="138"/>
    </row>
    <row r="47" ht="16.5" spans="1:7">
      <c r="A47" s="119">
        <v>16</v>
      </c>
      <c r="B47" s="126"/>
      <c r="C47" s="127" t="s">
        <v>176</v>
      </c>
      <c r="D47" s="127">
        <v>200</v>
      </c>
      <c r="E47" s="126" t="s">
        <v>100</v>
      </c>
      <c r="F47" s="147"/>
      <c r="G47" s="138"/>
    </row>
    <row r="48" spans="1:7">
      <c r="A48" s="119">
        <v>17</v>
      </c>
      <c r="B48" s="139" t="s">
        <v>120</v>
      </c>
      <c r="C48" s="139" t="s">
        <v>177</v>
      </c>
      <c r="D48" s="141">
        <v>1432</v>
      </c>
      <c r="E48" s="126" t="s">
        <v>49</v>
      </c>
      <c r="F48" s="140">
        <f>SUM(D48:D73)</f>
        <v>27701</v>
      </c>
      <c r="G48" s="138"/>
    </row>
    <row r="49" spans="1:7">
      <c r="A49" s="119">
        <v>18</v>
      </c>
      <c r="B49" s="139" t="s">
        <v>123</v>
      </c>
      <c r="C49" s="139" t="s">
        <v>178</v>
      </c>
      <c r="D49" s="141">
        <v>1943</v>
      </c>
      <c r="E49" s="126" t="s">
        <v>49</v>
      </c>
      <c r="F49" s="142"/>
      <c r="G49" s="138"/>
    </row>
    <row r="50" spans="1:7">
      <c r="A50" s="119">
        <v>19</v>
      </c>
      <c r="B50" s="139" t="s">
        <v>147</v>
      </c>
      <c r="C50" s="139" t="s">
        <v>179</v>
      </c>
      <c r="D50" s="141">
        <v>1141</v>
      </c>
      <c r="E50" s="126" t="s">
        <v>49</v>
      </c>
      <c r="F50" s="142"/>
      <c r="G50" s="138"/>
    </row>
    <row r="51" spans="1:7">
      <c r="A51" s="119">
        <v>20</v>
      </c>
      <c r="B51" s="139" t="s">
        <v>141</v>
      </c>
      <c r="C51" s="139" t="s">
        <v>180</v>
      </c>
      <c r="D51" s="141">
        <v>509</v>
      </c>
      <c r="E51" s="126" t="s">
        <v>49</v>
      </c>
      <c r="F51" s="142"/>
      <c r="G51" s="138"/>
    </row>
    <row r="52" spans="1:7">
      <c r="A52" s="119">
        <v>21</v>
      </c>
      <c r="B52" s="139" t="s">
        <v>181</v>
      </c>
      <c r="C52" s="139" t="s">
        <v>182</v>
      </c>
      <c r="D52" s="141">
        <v>48</v>
      </c>
      <c r="E52" s="126" t="s">
        <v>49</v>
      </c>
      <c r="F52" s="142"/>
      <c r="G52" s="138"/>
    </row>
    <row r="53" spans="1:7">
      <c r="A53" s="119">
        <v>22</v>
      </c>
      <c r="B53" s="139" t="s">
        <v>183</v>
      </c>
      <c r="C53" s="139" t="s">
        <v>184</v>
      </c>
      <c r="D53" s="141">
        <v>1141</v>
      </c>
      <c r="E53" s="126" t="s">
        <v>49</v>
      </c>
      <c r="F53" s="142"/>
      <c r="G53" s="138"/>
    </row>
    <row r="54" ht="24" spans="1:7">
      <c r="A54" s="119">
        <v>23</v>
      </c>
      <c r="B54" s="139" t="s">
        <v>185</v>
      </c>
      <c r="C54" s="139" t="s">
        <v>186</v>
      </c>
      <c r="D54" s="141">
        <v>648</v>
      </c>
      <c r="E54" s="126" t="s">
        <v>49</v>
      </c>
      <c r="F54" s="142"/>
      <c r="G54" s="138"/>
    </row>
    <row r="55" spans="1:7">
      <c r="A55" s="119">
        <v>24</v>
      </c>
      <c r="B55" s="139" t="s">
        <v>187</v>
      </c>
      <c r="C55" s="139" t="s">
        <v>188</v>
      </c>
      <c r="D55" s="141">
        <v>1634</v>
      </c>
      <c r="E55" s="126" t="s">
        <v>49</v>
      </c>
      <c r="F55" s="142"/>
      <c r="G55" s="138"/>
    </row>
    <row r="56" spans="1:7">
      <c r="A56" s="119">
        <v>25</v>
      </c>
      <c r="B56" s="139" t="s">
        <v>117</v>
      </c>
      <c r="C56" s="139" t="s">
        <v>189</v>
      </c>
      <c r="D56" s="144">
        <v>589</v>
      </c>
      <c r="E56" s="126" t="s">
        <v>49</v>
      </c>
      <c r="F56" s="142"/>
      <c r="G56" s="138"/>
    </row>
    <row r="57" spans="1:7">
      <c r="A57" s="119">
        <v>26</v>
      </c>
      <c r="B57" s="126" t="s">
        <v>145</v>
      </c>
      <c r="C57" s="126" t="s">
        <v>190</v>
      </c>
      <c r="D57" s="141">
        <v>450</v>
      </c>
      <c r="E57" s="126" t="s">
        <v>49</v>
      </c>
      <c r="F57" s="142"/>
      <c r="G57" s="138"/>
    </row>
    <row r="58" ht="16.5" spans="1:7">
      <c r="A58" s="119">
        <v>27</v>
      </c>
      <c r="B58" s="126"/>
      <c r="C58" s="127" t="s">
        <v>191</v>
      </c>
      <c r="D58" s="127">
        <v>800</v>
      </c>
      <c r="E58" s="126" t="s">
        <v>49</v>
      </c>
      <c r="F58" s="142"/>
      <c r="G58" s="138"/>
    </row>
    <row r="59" ht="16.5" spans="1:7">
      <c r="A59" s="119">
        <v>28</v>
      </c>
      <c r="B59" s="126"/>
      <c r="C59" s="127" t="s">
        <v>192</v>
      </c>
      <c r="D59" s="127">
        <v>1800</v>
      </c>
      <c r="E59" s="126" t="s">
        <v>49</v>
      </c>
      <c r="F59" s="142"/>
      <c r="G59" s="138"/>
    </row>
    <row r="60" spans="1:7">
      <c r="A60" s="119">
        <v>29</v>
      </c>
      <c r="B60" s="126"/>
      <c r="C60" s="126" t="s">
        <v>193</v>
      </c>
      <c r="D60" s="126">
        <v>1500</v>
      </c>
      <c r="E60" s="126" t="s">
        <v>49</v>
      </c>
      <c r="F60" s="142"/>
      <c r="G60" s="138"/>
    </row>
    <row r="61" spans="1:7">
      <c r="A61" s="119">
        <v>30</v>
      </c>
      <c r="B61" s="126"/>
      <c r="C61" s="126" t="s">
        <v>194</v>
      </c>
      <c r="D61" s="126">
        <v>1200</v>
      </c>
      <c r="E61" s="126" t="s">
        <v>49</v>
      </c>
      <c r="F61" s="142"/>
      <c r="G61" s="138"/>
    </row>
    <row r="62" spans="1:7">
      <c r="A62" s="119">
        <v>31</v>
      </c>
      <c r="B62" s="126"/>
      <c r="C62" s="126" t="s">
        <v>195</v>
      </c>
      <c r="D62" s="126">
        <v>1000</v>
      </c>
      <c r="E62" s="126" t="s">
        <v>49</v>
      </c>
      <c r="F62" s="142"/>
      <c r="G62" s="138"/>
    </row>
    <row r="63" spans="1:7">
      <c r="A63" s="119">
        <v>32</v>
      </c>
      <c r="B63" s="126"/>
      <c r="C63" s="126" t="s">
        <v>196</v>
      </c>
      <c r="D63" s="126">
        <v>350</v>
      </c>
      <c r="E63" s="126" t="s">
        <v>49</v>
      </c>
      <c r="F63" s="142"/>
      <c r="G63" s="138"/>
    </row>
    <row r="64" spans="1:7">
      <c r="A64" s="119">
        <v>33</v>
      </c>
      <c r="B64" s="126"/>
      <c r="C64" s="126" t="s">
        <v>197</v>
      </c>
      <c r="D64" s="126">
        <v>3000</v>
      </c>
      <c r="E64" s="126" t="s">
        <v>49</v>
      </c>
      <c r="F64" s="142"/>
      <c r="G64" s="138"/>
    </row>
    <row r="65" spans="1:7">
      <c r="A65" s="119">
        <v>34</v>
      </c>
      <c r="B65" s="126"/>
      <c r="C65" s="126" t="s">
        <v>198</v>
      </c>
      <c r="D65" s="126">
        <v>1500</v>
      </c>
      <c r="E65" s="126" t="s">
        <v>49</v>
      </c>
      <c r="F65" s="142"/>
      <c r="G65" s="138"/>
    </row>
    <row r="66" ht="16.5" spans="1:7">
      <c r="A66" s="119">
        <v>35</v>
      </c>
      <c r="B66" s="126"/>
      <c r="C66" s="127" t="s">
        <v>199</v>
      </c>
      <c r="D66" s="127">
        <v>800</v>
      </c>
      <c r="E66" s="126" t="s">
        <v>49</v>
      </c>
      <c r="F66" s="142"/>
      <c r="G66" s="138"/>
    </row>
    <row r="67" spans="1:7">
      <c r="A67" s="119">
        <v>36</v>
      </c>
      <c r="B67" s="126" t="s">
        <v>125</v>
      </c>
      <c r="C67" s="148" t="s">
        <v>200</v>
      </c>
      <c r="D67" s="149">
        <v>376</v>
      </c>
      <c r="E67" s="126" t="s">
        <v>49</v>
      </c>
      <c r="F67" s="142"/>
      <c r="G67" s="138"/>
    </row>
    <row r="68" ht="16.5" spans="1:7">
      <c r="A68" s="119">
        <v>37</v>
      </c>
      <c r="B68" s="126"/>
      <c r="C68" s="150" t="s">
        <v>201</v>
      </c>
      <c r="D68" s="150">
        <v>340</v>
      </c>
      <c r="E68" s="126" t="s">
        <v>49</v>
      </c>
      <c r="F68" s="142"/>
      <c r="G68" s="138"/>
    </row>
    <row r="69" ht="16.5" spans="1:7">
      <c r="A69" s="119">
        <v>38</v>
      </c>
      <c r="B69" s="126"/>
      <c r="C69" s="151" t="s">
        <v>202</v>
      </c>
      <c r="D69" s="151">
        <v>1000</v>
      </c>
      <c r="E69" s="126" t="s">
        <v>49</v>
      </c>
      <c r="F69" s="142"/>
      <c r="G69" s="138"/>
    </row>
    <row r="70" spans="1:7">
      <c r="A70" s="119">
        <v>39</v>
      </c>
      <c r="B70" s="126"/>
      <c r="C70" s="126" t="s">
        <v>203</v>
      </c>
      <c r="D70" s="122">
        <v>4000</v>
      </c>
      <c r="E70" s="126" t="s">
        <v>49</v>
      </c>
      <c r="F70" s="142"/>
      <c r="G70" s="138"/>
    </row>
    <row r="71" spans="1:7">
      <c r="A71" s="119">
        <v>40</v>
      </c>
      <c r="B71" s="126"/>
      <c r="C71" s="152" t="s">
        <v>204</v>
      </c>
      <c r="D71" s="152">
        <v>200</v>
      </c>
      <c r="E71" s="126" t="s">
        <v>49</v>
      </c>
      <c r="F71" s="142"/>
      <c r="G71" s="138"/>
    </row>
    <row r="72" spans="1:7">
      <c r="A72" s="119">
        <v>41</v>
      </c>
      <c r="B72" s="126"/>
      <c r="C72" s="152" t="s">
        <v>205</v>
      </c>
      <c r="D72" s="152">
        <v>200</v>
      </c>
      <c r="E72" s="126" t="s">
        <v>49</v>
      </c>
      <c r="F72" s="142"/>
      <c r="G72" s="138"/>
    </row>
    <row r="73" ht="14.25" spans="1:7">
      <c r="A73" s="119">
        <v>42</v>
      </c>
      <c r="B73" s="135"/>
      <c r="C73" s="153" t="s">
        <v>206</v>
      </c>
      <c r="D73" s="153">
        <v>100</v>
      </c>
      <c r="E73" s="135" t="s">
        <v>49</v>
      </c>
      <c r="F73" s="154"/>
      <c r="G73" s="155"/>
    </row>
    <row r="76" ht="14.25"/>
    <row r="77" spans="1:7">
      <c r="A77" s="156" t="s">
        <v>60</v>
      </c>
      <c r="B77" s="157"/>
      <c r="C77" s="157"/>
      <c r="D77" s="158"/>
    </row>
    <row r="78" spans="1:7">
      <c r="A78" s="159" t="s">
        <v>1</v>
      </c>
      <c r="B78" s="160" t="s">
        <v>61</v>
      </c>
      <c r="C78" s="161" t="s">
        <v>32</v>
      </c>
      <c r="D78" s="138" t="s">
        <v>62</v>
      </c>
    </row>
    <row r="79" spans="1:7">
      <c r="A79" s="162">
        <v>1</v>
      </c>
      <c r="B79" s="126" t="s">
        <v>207</v>
      </c>
      <c r="C79" s="126" t="s">
        <v>208</v>
      </c>
      <c r="D79" s="138">
        <v>3050</v>
      </c>
    </row>
    <row r="80" spans="1:7">
      <c r="A80" s="163">
        <v>2</v>
      </c>
      <c r="B80" s="140" t="s">
        <v>209</v>
      </c>
      <c r="C80" s="140" t="s">
        <v>210</v>
      </c>
      <c r="D80" s="164">
        <v>3160</v>
      </c>
    </row>
    <row r="81" ht="14.25" spans="1:9">
      <c r="A81" s="134" t="s">
        <v>29</v>
      </c>
      <c r="B81" s="135"/>
      <c r="C81" s="135"/>
      <c r="D81" s="155">
        <f>SUM(D79:D80)</f>
        <v>6210</v>
      </c>
    </row>
    <row r="83" ht="14.25"/>
    <row r="84" spans="1:9">
      <c r="A84" s="165" t="s">
        <v>211</v>
      </c>
      <c r="B84" s="166"/>
      <c r="C84" s="166"/>
      <c r="D84" s="166"/>
      <c r="E84" s="166"/>
      <c r="F84" s="166"/>
      <c r="G84" s="166"/>
      <c r="H84" s="167"/>
      <c r="I84" s="168"/>
    </row>
    <row r="85" spans="1:9">
      <c r="A85" s="169"/>
      <c r="B85" s="170"/>
      <c r="C85" s="170"/>
      <c r="D85" s="170"/>
      <c r="E85" s="170"/>
      <c r="F85" s="170"/>
      <c r="G85" s="170"/>
      <c r="H85" s="171"/>
      <c r="I85" s="168"/>
    </row>
    <row r="86" ht="24" customHeight="1" spans="1:9">
      <c r="A86" s="172" t="s">
        <v>1</v>
      </c>
      <c r="B86" s="173" t="s">
        <v>212</v>
      </c>
      <c r="C86" s="173" t="s">
        <v>213</v>
      </c>
      <c r="D86" s="173" t="s">
        <v>214</v>
      </c>
      <c r="E86" s="160" t="s">
        <v>35</v>
      </c>
      <c r="F86" s="160"/>
      <c r="G86" s="160"/>
      <c r="H86" s="174"/>
    </row>
    <row r="87" customHeight="1" spans="1:9">
      <c r="A87" s="175">
        <v>1</v>
      </c>
      <c r="B87" s="176" t="s">
        <v>215</v>
      </c>
      <c r="C87" s="177" t="s">
        <v>216</v>
      </c>
      <c r="D87" s="178">
        <v>910</v>
      </c>
      <c r="E87" s="179" t="s">
        <v>217</v>
      </c>
      <c r="F87" s="179"/>
      <c r="G87" s="179"/>
      <c r="H87" s="180"/>
    </row>
    <row r="88" spans="1:9">
      <c r="A88" s="175">
        <v>2</v>
      </c>
      <c r="B88" s="176" t="s">
        <v>218</v>
      </c>
      <c r="C88" s="177" t="s">
        <v>216</v>
      </c>
      <c r="D88" s="178">
        <v>5000</v>
      </c>
      <c r="E88" s="179"/>
      <c r="F88" s="179"/>
      <c r="G88" s="179"/>
      <c r="H88" s="180"/>
    </row>
    <row r="89" spans="1:9">
      <c r="A89" s="175"/>
      <c r="B89" s="181" t="s">
        <v>8</v>
      </c>
      <c r="C89" s="181"/>
      <c r="D89" s="181">
        <f>SUM(D87:D88)</f>
        <v>5910</v>
      </c>
      <c r="E89" s="179"/>
      <c r="F89" s="179"/>
      <c r="G89" s="179"/>
      <c r="H89" s="180"/>
    </row>
    <row r="90" spans="1:9">
      <c r="A90" s="175">
        <v>3</v>
      </c>
      <c r="B90" s="182" t="s">
        <v>215</v>
      </c>
      <c r="C90" s="183" t="s">
        <v>219</v>
      </c>
      <c r="D90" s="184">
        <v>390</v>
      </c>
      <c r="E90" s="179"/>
      <c r="F90" s="179"/>
      <c r="G90" s="179"/>
      <c r="H90" s="180"/>
    </row>
    <row r="91" spans="1:9">
      <c r="A91" s="175">
        <v>4</v>
      </c>
      <c r="B91" s="185" t="s">
        <v>220</v>
      </c>
      <c r="C91" s="183" t="s">
        <v>219</v>
      </c>
      <c r="D91" s="185">
        <v>1100</v>
      </c>
      <c r="E91" s="179"/>
      <c r="F91" s="179"/>
      <c r="G91" s="179"/>
      <c r="H91" s="180"/>
    </row>
    <row r="92" spans="1:9">
      <c r="A92" s="175"/>
      <c r="B92" s="181" t="s">
        <v>8</v>
      </c>
      <c r="C92" s="181"/>
      <c r="D92" s="181">
        <f>SUM(D90:D91)</f>
        <v>1490</v>
      </c>
      <c r="E92" s="179"/>
      <c r="F92" s="179"/>
      <c r="G92" s="179"/>
      <c r="H92" s="180"/>
    </row>
    <row r="93" spans="1:9">
      <c r="A93" s="175">
        <v>5</v>
      </c>
      <c r="B93" s="186" t="s">
        <v>221</v>
      </c>
      <c r="C93" s="177" t="s">
        <v>222</v>
      </c>
      <c r="D93" s="186">
        <v>300</v>
      </c>
      <c r="E93" s="179"/>
      <c r="F93" s="179"/>
      <c r="G93" s="179"/>
      <c r="H93" s="180"/>
    </row>
    <row r="94" spans="1:9">
      <c r="A94" s="175">
        <v>6</v>
      </c>
      <c r="B94" s="176" t="s">
        <v>218</v>
      </c>
      <c r="C94" s="177" t="s">
        <v>222</v>
      </c>
      <c r="D94" s="176">
        <v>500</v>
      </c>
      <c r="E94" s="179"/>
      <c r="F94" s="179"/>
      <c r="G94" s="179"/>
      <c r="H94" s="180"/>
    </row>
    <row r="95" spans="1:9">
      <c r="A95" s="175"/>
      <c r="B95" s="181" t="s">
        <v>8</v>
      </c>
      <c r="C95" s="181"/>
      <c r="D95" s="181">
        <f>SUM(D93:D94)</f>
        <v>800</v>
      </c>
      <c r="E95" s="179"/>
      <c r="F95" s="179"/>
      <c r="G95" s="179"/>
      <c r="H95" s="180"/>
    </row>
    <row r="96" spans="1:9">
      <c r="A96" s="175">
        <v>7</v>
      </c>
      <c r="B96" s="176" t="s">
        <v>69</v>
      </c>
      <c r="C96" s="178" t="s">
        <v>223</v>
      </c>
      <c r="D96" s="176">
        <v>1200</v>
      </c>
      <c r="E96" s="179"/>
      <c r="F96" s="179"/>
      <c r="G96" s="179"/>
      <c r="H96" s="180"/>
    </row>
    <row r="97" spans="1:8">
      <c r="A97" s="175">
        <v>8</v>
      </c>
      <c r="B97" s="177" t="s">
        <v>139</v>
      </c>
      <c r="C97" s="178" t="s">
        <v>223</v>
      </c>
      <c r="D97" s="178">
        <v>800</v>
      </c>
      <c r="E97" s="179"/>
      <c r="F97" s="179"/>
      <c r="G97" s="179"/>
      <c r="H97" s="180"/>
    </row>
    <row r="98" spans="1:8">
      <c r="A98" s="175">
        <v>9</v>
      </c>
      <c r="B98" s="186" t="s">
        <v>224</v>
      </c>
      <c r="C98" s="178" t="s">
        <v>223</v>
      </c>
      <c r="D98" s="186">
        <v>2000</v>
      </c>
      <c r="E98" s="179"/>
      <c r="F98" s="179"/>
      <c r="G98" s="179"/>
      <c r="H98" s="180"/>
    </row>
    <row r="99" spans="1:8">
      <c r="A99" s="187"/>
      <c r="B99" s="170" t="s">
        <v>8</v>
      </c>
      <c r="C99" s="170"/>
      <c r="D99" s="170">
        <v>4000</v>
      </c>
      <c r="E99" s="179"/>
      <c r="F99" s="179"/>
      <c r="G99" s="179"/>
      <c r="H99" s="180"/>
    </row>
    <row r="100" ht="14.25" spans="1:8">
      <c r="A100" s="188"/>
      <c r="B100" s="189" t="s">
        <v>29</v>
      </c>
      <c r="C100" s="190"/>
      <c r="D100" s="189">
        <f>D89+D92+D95+D99</f>
        <v>12200</v>
      </c>
      <c r="E100" s="191"/>
      <c r="F100" s="191"/>
      <c r="G100" s="191"/>
      <c r="H100" s="192"/>
    </row>
  </sheetData>
  <mergeCells count="15">
    <mergeCell ref="A2:H2"/>
    <mergeCell ref="D3:G3"/>
    <mergeCell ref="A30:G30"/>
    <mergeCell ref="A77:C77"/>
    <mergeCell ref="A81:C81"/>
    <mergeCell ref="E86:H86"/>
    <mergeCell ref="A3:A4"/>
    <mergeCell ref="B3:B4"/>
    <mergeCell ref="C3:C4"/>
    <mergeCell ref="F32:F43"/>
    <mergeCell ref="F44:F47"/>
    <mergeCell ref="F48:F73"/>
    <mergeCell ref="H3:H4"/>
    <mergeCell ref="A84:H85"/>
    <mergeCell ref="E87:H10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zoomScale="85" zoomScaleNormal="85" workbookViewId="0">
      <pane ySplit="4" topLeftCell="A5" activePane="bottomLeft" state="frozen"/>
      <selection/>
      <selection pane="bottomLeft" activeCell="F56" sqref="F56"/>
    </sheetView>
  </sheetViews>
  <sheetFormatPr defaultColWidth="9" defaultRowHeight="13.5"/>
  <cols>
    <col min="1" max="1" width="7.49166666666667" style="83" customWidth="1"/>
    <col min="2" max="2" width="14.85" style="83" customWidth="1"/>
    <col min="3" max="3" width="15.2916666666667" style="83" customWidth="1"/>
    <col min="4" max="4" width="18.9666666666667" style="83" customWidth="1"/>
    <col min="5" max="5" width="10.4333333333333" style="83" customWidth="1"/>
    <col min="6" max="6" width="12.0583333333333" style="83" customWidth="1"/>
    <col min="7" max="7" width="11.4666666666667" style="83" customWidth="1"/>
    <col min="8" max="8" width="12.7916666666667" style="83" customWidth="1"/>
    <col min="9" max="10" width="13.5333333333333" style="83" customWidth="1"/>
    <col min="11" max="12" width="13.9666666666667" style="83" customWidth="1"/>
    <col min="13" max="13" width="14.85" style="84" customWidth="1"/>
    <col min="14" max="14" width="7.2" style="84" customWidth="1"/>
    <col min="15" max="15" width="12.7916666666667" style="84" customWidth="1"/>
    <col min="16" max="16" width="15" style="83" customWidth="1"/>
    <col min="17" max="17" width="12.625" style="83"/>
    <col min="18" max="19" width="9" style="83"/>
    <col min="20" max="20" width="9.33333333333333" style="83"/>
    <col min="21" max="16384" width="9" style="83"/>
  </cols>
  <sheetData>
    <row r="1" s="80" customFormat="1" ht="18.75" spans="1:16">
      <c r="A1" s="85" t="s">
        <v>225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="80" customFormat="1" ht="25.05" customHeight="1" spans="1:16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="80" customFormat="1" ht="37" customHeight="1" spans="1:16">
      <c r="A3" s="86" t="s">
        <v>1</v>
      </c>
      <c r="B3" s="86" t="s">
        <v>226</v>
      </c>
      <c r="C3" s="86" t="s">
        <v>227</v>
      </c>
      <c r="D3" s="86" t="s">
        <v>228</v>
      </c>
      <c r="E3" s="86" t="s">
        <v>229</v>
      </c>
      <c r="F3" s="87" t="s">
        <v>34</v>
      </c>
      <c r="G3" s="87" t="s">
        <v>230</v>
      </c>
      <c r="H3" s="88" t="s">
        <v>231</v>
      </c>
      <c r="I3" s="88" t="s">
        <v>232</v>
      </c>
      <c r="J3" s="88" t="s">
        <v>233</v>
      </c>
      <c r="K3" s="88" t="s">
        <v>234</v>
      </c>
      <c r="L3" s="88"/>
      <c r="M3" s="88" t="s">
        <v>235</v>
      </c>
      <c r="N3" s="88" t="s">
        <v>236</v>
      </c>
      <c r="O3" s="88" t="s">
        <v>237</v>
      </c>
      <c r="P3" s="88" t="s">
        <v>238</v>
      </c>
    </row>
    <row r="4" s="80" customFormat="1" ht="38" customHeight="1" spans="1:16">
      <c r="A4" s="86"/>
      <c r="B4" s="86"/>
      <c r="C4" s="86"/>
      <c r="D4" s="86"/>
      <c r="E4" s="86"/>
      <c r="F4" s="89"/>
      <c r="G4" s="89"/>
      <c r="H4" s="88"/>
      <c r="I4" s="88"/>
      <c r="J4" s="88"/>
      <c r="K4" s="90" t="s">
        <v>239</v>
      </c>
      <c r="L4" s="90" t="s">
        <v>240</v>
      </c>
      <c r="M4" s="88"/>
      <c r="N4" s="88"/>
      <c r="O4" s="88"/>
      <c r="P4" s="88"/>
    </row>
    <row r="5" s="81" customFormat="1" ht="30" customHeight="1" spans="1:16">
      <c r="A5" s="91">
        <f t="shared" ref="A5:A20" si="0">ROW()-4</f>
        <v>1</v>
      </c>
      <c r="B5" s="92" t="s">
        <v>241</v>
      </c>
      <c r="C5" s="93" t="s">
        <v>242</v>
      </c>
      <c r="D5" s="93" t="s">
        <v>23</v>
      </c>
      <c r="E5" s="93" t="s">
        <v>243</v>
      </c>
      <c r="F5" s="93" t="s">
        <v>244</v>
      </c>
      <c r="G5" s="93">
        <v>1000</v>
      </c>
      <c r="H5" s="94">
        <v>9.5</v>
      </c>
      <c r="I5" s="94">
        <f t="shared" ref="I5:I20" si="1">G5*H5</f>
        <v>9500</v>
      </c>
      <c r="J5" s="94">
        <f t="shared" ref="J5:J20" si="2">G5</f>
        <v>1000</v>
      </c>
      <c r="K5" s="95">
        <f>8.4+0.6</f>
        <v>9</v>
      </c>
      <c r="L5" s="96">
        <v>8</v>
      </c>
      <c r="M5" s="97">
        <f t="shared" ref="M5:M20" si="3">J5*(K5+L5)</f>
        <v>17000</v>
      </c>
      <c r="N5" s="98">
        <v>0.35</v>
      </c>
      <c r="O5" s="99">
        <f t="shared" ref="O5:O20" si="4">M5*N5</f>
        <v>5950</v>
      </c>
      <c r="P5" s="95">
        <f t="shared" ref="P5:P20" si="5">I5+O5</f>
        <v>15450</v>
      </c>
    </row>
    <row r="6" s="81" customFormat="1" ht="30" customHeight="1" spans="1:16">
      <c r="A6" s="91">
        <f t="shared" si="0"/>
        <v>2</v>
      </c>
      <c r="B6" s="92" t="s">
        <v>15</v>
      </c>
      <c r="C6" s="93" t="s">
        <v>23</v>
      </c>
      <c r="D6" s="93" t="s">
        <v>242</v>
      </c>
      <c r="E6" s="93" t="s">
        <v>245</v>
      </c>
      <c r="F6" s="93" t="s">
        <v>246</v>
      </c>
      <c r="G6" s="93">
        <v>900</v>
      </c>
      <c r="H6" s="94">
        <v>6</v>
      </c>
      <c r="I6" s="94">
        <f t="shared" si="1"/>
        <v>5400</v>
      </c>
      <c r="J6" s="94">
        <f t="shared" si="2"/>
        <v>900</v>
      </c>
      <c r="K6" s="95">
        <v>20</v>
      </c>
      <c r="L6" s="96">
        <v>7</v>
      </c>
      <c r="M6" s="97">
        <f t="shared" si="3"/>
        <v>24300</v>
      </c>
      <c r="N6" s="98">
        <v>0.25</v>
      </c>
      <c r="O6" s="99">
        <f t="shared" si="4"/>
        <v>6075</v>
      </c>
      <c r="P6" s="95">
        <f t="shared" si="5"/>
        <v>11475</v>
      </c>
    </row>
    <row r="7" s="81" customFormat="1" ht="37" customHeight="1" spans="1:16">
      <c r="A7" s="91">
        <f t="shared" si="0"/>
        <v>3</v>
      </c>
      <c r="B7" s="92" t="s">
        <v>17</v>
      </c>
      <c r="C7" s="93" t="s">
        <v>23</v>
      </c>
      <c r="D7" s="93" t="s">
        <v>247</v>
      </c>
      <c r="E7" s="93" t="s">
        <v>245</v>
      </c>
      <c r="F7" s="93" t="s">
        <v>246</v>
      </c>
      <c r="G7" s="93">
        <v>350</v>
      </c>
      <c r="H7" s="94">
        <v>6.8</v>
      </c>
      <c r="I7" s="94">
        <f t="shared" si="1"/>
        <v>2380</v>
      </c>
      <c r="J7" s="94">
        <f t="shared" si="2"/>
        <v>350</v>
      </c>
      <c r="K7" s="95">
        <v>20</v>
      </c>
      <c r="L7" s="96">
        <v>6</v>
      </c>
      <c r="M7" s="97">
        <f t="shared" si="3"/>
        <v>9100</v>
      </c>
      <c r="N7" s="98">
        <v>0.25</v>
      </c>
      <c r="O7" s="99">
        <f t="shared" si="4"/>
        <v>2275</v>
      </c>
      <c r="P7" s="95">
        <f t="shared" si="5"/>
        <v>4655</v>
      </c>
    </row>
    <row r="8" s="81" customFormat="1" ht="30" customHeight="1" spans="1:16">
      <c r="A8" s="91">
        <f t="shared" si="0"/>
        <v>4</v>
      </c>
      <c r="B8" s="92" t="s">
        <v>248</v>
      </c>
      <c r="C8" s="93" t="s">
        <v>249</v>
      </c>
      <c r="D8" s="93" t="s">
        <v>250</v>
      </c>
      <c r="E8" s="93" t="s">
        <v>251</v>
      </c>
      <c r="F8" s="93" t="s">
        <v>244</v>
      </c>
      <c r="G8" s="93">
        <v>255</v>
      </c>
      <c r="H8" s="94">
        <f>3.2+1.8</f>
        <v>5</v>
      </c>
      <c r="I8" s="94">
        <f t="shared" si="1"/>
        <v>1275</v>
      </c>
      <c r="J8" s="94">
        <f t="shared" si="2"/>
        <v>255</v>
      </c>
      <c r="K8" s="95">
        <v>0</v>
      </c>
      <c r="L8" s="96">
        <v>0</v>
      </c>
      <c r="M8" s="97">
        <f t="shared" si="3"/>
        <v>0</v>
      </c>
      <c r="N8" s="98">
        <v>0</v>
      </c>
      <c r="O8" s="99">
        <f t="shared" si="4"/>
        <v>0</v>
      </c>
      <c r="P8" s="95">
        <f t="shared" si="5"/>
        <v>1275</v>
      </c>
    </row>
    <row r="9" s="81" customFormat="1" ht="30" customHeight="1" spans="1:16">
      <c r="A9" s="91">
        <f t="shared" si="0"/>
        <v>5</v>
      </c>
      <c r="B9" s="92" t="s">
        <v>141</v>
      </c>
      <c r="C9" s="93" t="s">
        <v>19</v>
      </c>
      <c r="D9" s="93" t="s">
        <v>252</v>
      </c>
      <c r="E9" s="93" t="s">
        <v>245</v>
      </c>
      <c r="F9" s="93" t="s">
        <v>246</v>
      </c>
      <c r="G9" s="93">
        <v>2000</v>
      </c>
      <c r="H9" s="94">
        <v>9</v>
      </c>
      <c r="I9" s="94">
        <f t="shared" si="1"/>
        <v>18000</v>
      </c>
      <c r="J9" s="94">
        <f t="shared" si="2"/>
        <v>2000</v>
      </c>
      <c r="K9" s="95">
        <v>6.5</v>
      </c>
      <c r="L9" s="96">
        <v>7.4</v>
      </c>
      <c r="M9" s="97">
        <f t="shared" si="3"/>
        <v>27800</v>
      </c>
      <c r="N9" s="98">
        <v>0.4</v>
      </c>
      <c r="O9" s="99">
        <f t="shared" si="4"/>
        <v>11120</v>
      </c>
      <c r="P9" s="95">
        <f t="shared" si="5"/>
        <v>29120</v>
      </c>
    </row>
    <row r="10" s="81" customFormat="1" ht="30" customHeight="1" spans="1:16">
      <c r="A10" s="91">
        <f t="shared" si="0"/>
        <v>6</v>
      </c>
      <c r="B10" s="92" t="s">
        <v>21</v>
      </c>
      <c r="C10" s="93" t="s">
        <v>23</v>
      </c>
      <c r="D10" s="93" t="s">
        <v>253</v>
      </c>
      <c r="E10" s="93" t="s">
        <v>254</v>
      </c>
      <c r="F10" s="93" t="s">
        <v>246</v>
      </c>
      <c r="G10" s="93">
        <v>1500</v>
      </c>
      <c r="H10" s="94">
        <v>9.4</v>
      </c>
      <c r="I10" s="94">
        <f t="shared" si="1"/>
        <v>14100</v>
      </c>
      <c r="J10" s="94">
        <f t="shared" si="2"/>
        <v>1500</v>
      </c>
      <c r="K10" s="95">
        <v>9.8</v>
      </c>
      <c r="L10" s="96">
        <v>4.4</v>
      </c>
      <c r="M10" s="97">
        <f t="shared" si="3"/>
        <v>21300</v>
      </c>
      <c r="N10" s="98">
        <v>0.35</v>
      </c>
      <c r="O10" s="99">
        <f t="shared" si="4"/>
        <v>7455</v>
      </c>
      <c r="P10" s="95">
        <f t="shared" si="5"/>
        <v>21555</v>
      </c>
    </row>
    <row r="11" s="81" customFormat="1" ht="30" customHeight="1" spans="1:16">
      <c r="A11" s="91">
        <f t="shared" si="0"/>
        <v>7</v>
      </c>
      <c r="B11" s="92" t="s">
        <v>19</v>
      </c>
      <c r="C11" s="93" t="s">
        <v>255</v>
      </c>
      <c r="D11" s="93" t="s">
        <v>242</v>
      </c>
      <c r="E11" s="93" t="s">
        <v>254</v>
      </c>
      <c r="F11" s="93" t="s">
        <v>246</v>
      </c>
      <c r="G11" s="93">
        <v>1700</v>
      </c>
      <c r="H11" s="94">
        <v>7.6</v>
      </c>
      <c r="I11" s="94">
        <f t="shared" si="1"/>
        <v>12920</v>
      </c>
      <c r="J11" s="94">
        <f t="shared" si="2"/>
        <v>1700</v>
      </c>
      <c r="K11" s="95">
        <v>16</v>
      </c>
      <c r="L11" s="96">
        <v>0</v>
      </c>
      <c r="M11" s="97">
        <f t="shared" si="3"/>
        <v>27200</v>
      </c>
      <c r="N11" s="98">
        <v>0.35</v>
      </c>
      <c r="O11" s="99">
        <f t="shared" si="4"/>
        <v>9520</v>
      </c>
      <c r="P11" s="95">
        <f t="shared" si="5"/>
        <v>22440</v>
      </c>
    </row>
    <row r="12" s="81" customFormat="1" ht="30" customHeight="1" spans="1:16">
      <c r="A12" s="91">
        <f t="shared" si="0"/>
        <v>8</v>
      </c>
      <c r="B12" s="92" t="s">
        <v>23</v>
      </c>
      <c r="C12" s="93" t="s">
        <v>21</v>
      </c>
      <c r="D12" s="93" t="s">
        <v>256</v>
      </c>
      <c r="E12" s="93" t="s">
        <v>254</v>
      </c>
      <c r="F12" s="93" t="s">
        <v>246</v>
      </c>
      <c r="G12" s="93">
        <v>2000</v>
      </c>
      <c r="H12" s="94">
        <f>6+2</f>
        <v>8</v>
      </c>
      <c r="I12" s="94">
        <f t="shared" si="1"/>
        <v>16000</v>
      </c>
      <c r="J12" s="94">
        <f t="shared" si="2"/>
        <v>2000</v>
      </c>
      <c r="K12" s="95">
        <v>19</v>
      </c>
      <c r="L12" s="96">
        <f>4.4+1</f>
        <v>5.4</v>
      </c>
      <c r="M12" s="97">
        <f t="shared" si="3"/>
        <v>48800</v>
      </c>
      <c r="N12" s="98">
        <v>0.25</v>
      </c>
      <c r="O12" s="99">
        <f t="shared" si="4"/>
        <v>12200</v>
      </c>
      <c r="P12" s="95">
        <f t="shared" si="5"/>
        <v>28200</v>
      </c>
    </row>
    <row r="13" s="81" customFormat="1" ht="30" customHeight="1" spans="1:16">
      <c r="A13" s="91">
        <f t="shared" si="0"/>
        <v>9</v>
      </c>
      <c r="B13" s="92" t="s">
        <v>257</v>
      </c>
      <c r="C13" s="93" t="s">
        <v>23</v>
      </c>
      <c r="D13" s="93" t="s">
        <v>242</v>
      </c>
      <c r="E13" s="93" t="s">
        <v>245</v>
      </c>
      <c r="F13" s="93" t="s">
        <v>246</v>
      </c>
      <c r="G13" s="93">
        <v>650</v>
      </c>
      <c r="H13" s="94">
        <v>9.4</v>
      </c>
      <c r="I13" s="94">
        <f t="shared" si="1"/>
        <v>6110</v>
      </c>
      <c r="J13" s="94">
        <f t="shared" si="2"/>
        <v>650</v>
      </c>
      <c r="K13" s="95">
        <v>9</v>
      </c>
      <c r="L13" s="96">
        <v>6</v>
      </c>
      <c r="M13" s="97">
        <f t="shared" si="3"/>
        <v>9750</v>
      </c>
      <c r="N13" s="98">
        <v>0.35</v>
      </c>
      <c r="O13" s="99">
        <f t="shared" si="4"/>
        <v>3412.5</v>
      </c>
      <c r="P13" s="95">
        <f t="shared" si="5"/>
        <v>9522.5</v>
      </c>
    </row>
    <row r="14" s="81" customFormat="1" ht="30" customHeight="1" spans="1:16">
      <c r="A14" s="91">
        <f t="shared" si="0"/>
        <v>10</v>
      </c>
      <c r="B14" s="92" t="s">
        <v>13</v>
      </c>
      <c r="C14" s="93" t="s">
        <v>11</v>
      </c>
      <c r="D14" s="93" t="s">
        <v>242</v>
      </c>
      <c r="E14" s="93" t="s">
        <v>245</v>
      </c>
      <c r="F14" s="93" t="s">
        <v>246</v>
      </c>
      <c r="G14" s="93">
        <v>290</v>
      </c>
      <c r="H14" s="94">
        <v>11</v>
      </c>
      <c r="I14" s="94">
        <f t="shared" si="1"/>
        <v>3190</v>
      </c>
      <c r="J14" s="94">
        <f t="shared" si="2"/>
        <v>290</v>
      </c>
      <c r="K14" s="95">
        <v>10</v>
      </c>
      <c r="L14" s="96">
        <v>5</v>
      </c>
      <c r="M14" s="97">
        <f t="shared" si="3"/>
        <v>4350</v>
      </c>
      <c r="N14" s="98">
        <v>0.35</v>
      </c>
      <c r="O14" s="99">
        <f t="shared" si="4"/>
        <v>1522.5</v>
      </c>
      <c r="P14" s="95">
        <f t="shared" si="5"/>
        <v>4712.5</v>
      </c>
    </row>
    <row r="15" s="81" customFormat="1" ht="30" customHeight="1" spans="1:16">
      <c r="A15" s="91">
        <f t="shared" si="0"/>
        <v>11</v>
      </c>
      <c r="B15" s="92" t="s">
        <v>58</v>
      </c>
      <c r="C15" s="93" t="s">
        <v>258</v>
      </c>
      <c r="D15" s="93" t="s">
        <v>241</v>
      </c>
      <c r="E15" s="93" t="s">
        <v>251</v>
      </c>
      <c r="F15" s="93" t="s">
        <v>244</v>
      </c>
      <c r="G15" s="93">
        <v>500</v>
      </c>
      <c r="H15" s="94">
        <f>0.7+0.3</f>
        <v>1</v>
      </c>
      <c r="I15" s="94">
        <f t="shared" si="1"/>
        <v>500</v>
      </c>
      <c r="J15" s="94">
        <f t="shared" si="2"/>
        <v>500</v>
      </c>
      <c r="K15" s="95">
        <v>5</v>
      </c>
      <c r="L15" s="96">
        <v>0</v>
      </c>
      <c r="M15" s="97">
        <f t="shared" si="3"/>
        <v>2500</v>
      </c>
      <c r="N15" s="98">
        <v>1</v>
      </c>
      <c r="O15" s="99">
        <f t="shared" si="4"/>
        <v>2500</v>
      </c>
      <c r="P15" s="95">
        <f t="shared" si="5"/>
        <v>3000</v>
      </c>
    </row>
    <row r="16" s="81" customFormat="1" ht="30" customHeight="1" spans="1:16">
      <c r="A16" s="91">
        <f t="shared" si="0"/>
        <v>12</v>
      </c>
      <c r="B16" s="92" t="s">
        <v>259</v>
      </c>
      <c r="C16" s="93" t="s">
        <v>260</v>
      </c>
      <c r="D16" s="93" t="s">
        <v>261</v>
      </c>
      <c r="E16" s="93" t="s">
        <v>251</v>
      </c>
      <c r="F16" s="93" t="s">
        <v>244</v>
      </c>
      <c r="G16" s="93">
        <v>390</v>
      </c>
      <c r="H16" s="94">
        <f>2.6+1.4</f>
        <v>4</v>
      </c>
      <c r="I16" s="94">
        <f t="shared" si="1"/>
        <v>1560</v>
      </c>
      <c r="J16" s="94">
        <f t="shared" si="2"/>
        <v>390</v>
      </c>
      <c r="K16" s="95">
        <f>5.9+1</f>
        <v>6.9</v>
      </c>
      <c r="L16" s="96">
        <v>0</v>
      </c>
      <c r="M16" s="97">
        <f t="shared" si="3"/>
        <v>2691</v>
      </c>
      <c r="N16" s="98">
        <v>0.8</v>
      </c>
      <c r="O16" s="99">
        <f t="shared" si="4"/>
        <v>2152.8</v>
      </c>
      <c r="P16" s="95">
        <f t="shared" si="5"/>
        <v>3712.8</v>
      </c>
    </row>
    <row r="17" s="81" customFormat="1" ht="30" customHeight="1" spans="1:16">
      <c r="A17" s="91">
        <f t="shared" si="0"/>
        <v>13</v>
      </c>
      <c r="B17" s="92" t="s">
        <v>25</v>
      </c>
      <c r="C17" s="93" t="s">
        <v>23</v>
      </c>
      <c r="D17" s="93" t="s">
        <v>261</v>
      </c>
      <c r="E17" s="93" t="s">
        <v>243</v>
      </c>
      <c r="F17" s="93" t="s">
        <v>244</v>
      </c>
      <c r="G17" s="93">
        <v>350</v>
      </c>
      <c r="H17" s="94">
        <f>7.3+2</f>
        <v>9.3</v>
      </c>
      <c r="I17" s="94">
        <f t="shared" si="1"/>
        <v>3255</v>
      </c>
      <c r="J17" s="94">
        <f t="shared" si="2"/>
        <v>350</v>
      </c>
      <c r="K17" s="95">
        <v>9</v>
      </c>
      <c r="L17" s="96">
        <v>0</v>
      </c>
      <c r="M17" s="97">
        <f t="shared" si="3"/>
        <v>3150</v>
      </c>
      <c r="N17" s="98">
        <v>0.6</v>
      </c>
      <c r="O17" s="99">
        <f t="shared" si="4"/>
        <v>1890</v>
      </c>
      <c r="P17" s="95">
        <f t="shared" si="5"/>
        <v>5145</v>
      </c>
    </row>
    <row r="18" s="81" customFormat="1" ht="38" customHeight="1" spans="1:16">
      <c r="A18" s="91">
        <f t="shared" si="0"/>
        <v>14</v>
      </c>
      <c r="B18" s="92" t="s">
        <v>252</v>
      </c>
      <c r="C18" s="93" t="s">
        <v>242</v>
      </c>
      <c r="D18" s="93" t="s">
        <v>262</v>
      </c>
      <c r="E18" s="93" t="s">
        <v>243</v>
      </c>
      <c r="F18" s="93" t="s">
        <v>244</v>
      </c>
      <c r="G18" s="93">
        <v>470</v>
      </c>
      <c r="H18" s="94">
        <f>1.3+2</f>
        <v>3.3</v>
      </c>
      <c r="I18" s="94">
        <f t="shared" si="1"/>
        <v>1551</v>
      </c>
      <c r="J18" s="94">
        <f t="shared" si="2"/>
        <v>470</v>
      </c>
      <c r="K18" s="95">
        <f>3.5+1.5</f>
        <v>5</v>
      </c>
      <c r="L18" s="96">
        <v>0</v>
      </c>
      <c r="M18" s="97">
        <f t="shared" si="3"/>
        <v>2350</v>
      </c>
      <c r="N18" s="98">
        <v>1</v>
      </c>
      <c r="O18" s="99">
        <f t="shared" si="4"/>
        <v>2350</v>
      </c>
      <c r="P18" s="95">
        <f t="shared" si="5"/>
        <v>3901</v>
      </c>
    </row>
    <row r="19" s="81" customFormat="1" ht="30" customHeight="1" spans="1:16">
      <c r="A19" s="91">
        <f t="shared" si="0"/>
        <v>15</v>
      </c>
      <c r="B19" s="92" t="s">
        <v>263</v>
      </c>
      <c r="C19" s="93" t="s">
        <v>25</v>
      </c>
      <c r="D19" s="93" t="s">
        <v>264</v>
      </c>
      <c r="E19" s="93" t="s">
        <v>243</v>
      </c>
      <c r="F19" s="93" t="s">
        <v>244</v>
      </c>
      <c r="G19" s="93">
        <v>310</v>
      </c>
      <c r="H19" s="94">
        <f>5.8+2</f>
        <v>7.8</v>
      </c>
      <c r="I19" s="94">
        <f t="shared" si="1"/>
        <v>2418</v>
      </c>
      <c r="J19" s="94">
        <f t="shared" si="2"/>
        <v>310</v>
      </c>
      <c r="K19" s="95">
        <f>10-1</f>
        <v>9</v>
      </c>
      <c r="L19" s="96">
        <v>0</v>
      </c>
      <c r="M19" s="97">
        <f t="shared" si="3"/>
        <v>2790</v>
      </c>
      <c r="N19" s="98">
        <v>0.6</v>
      </c>
      <c r="O19" s="99">
        <f t="shared" si="4"/>
        <v>1674</v>
      </c>
      <c r="P19" s="95">
        <f t="shared" si="5"/>
        <v>4092</v>
      </c>
    </row>
    <row r="20" s="81" customFormat="1" ht="30" customHeight="1" spans="1:16">
      <c r="A20" s="91">
        <f t="shared" si="0"/>
        <v>16</v>
      </c>
      <c r="B20" s="92" t="s">
        <v>120</v>
      </c>
      <c r="C20" s="93" t="s">
        <v>19</v>
      </c>
      <c r="D20" s="93" t="s">
        <v>21</v>
      </c>
      <c r="E20" s="93" t="s">
        <v>245</v>
      </c>
      <c r="F20" s="93" t="s">
        <v>244</v>
      </c>
      <c r="G20" s="93">
        <v>420</v>
      </c>
      <c r="H20" s="94">
        <v>3.2</v>
      </c>
      <c r="I20" s="94">
        <f t="shared" si="1"/>
        <v>1344</v>
      </c>
      <c r="J20" s="94">
        <f t="shared" si="2"/>
        <v>420</v>
      </c>
      <c r="K20" s="95">
        <v>6</v>
      </c>
      <c r="L20" s="96">
        <v>0</v>
      </c>
      <c r="M20" s="97">
        <f t="shared" si="3"/>
        <v>2520</v>
      </c>
      <c r="N20" s="98">
        <v>0.8</v>
      </c>
      <c r="O20" s="99">
        <f t="shared" si="4"/>
        <v>2016</v>
      </c>
      <c r="P20" s="95">
        <f t="shared" si="5"/>
        <v>3360</v>
      </c>
    </row>
    <row r="21" s="82" customFormat="1" ht="30" customHeight="1" spans="1:16">
      <c r="A21" s="100"/>
      <c r="B21" s="101" t="s">
        <v>29</v>
      </c>
      <c r="C21" s="102"/>
      <c r="D21" s="102"/>
      <c r="E21" s="102"/>
      <c r="F21" s="102"/>
      <c r="G21" s="102"/>
      <c r="H21" s="103"/>
      <c r="I21" s="103">
        <f>SUM(I5:I20)</f>
        <v>99503</v>
      </c>
      <c r="J21" s="103"/>
      <c r="K21" s="105"/>
      <c r="L21" s="106"/>
      <c r="M21" s="104">
        <f t="shared" ref="M21:P21" si="6">SUM(M5:M20)</f>
        <v>205601</v>
      </c>
      <c r="N21" s="107"/>
      <c r="O21" s="108">
        <f t="shared" si="6"/>
        <v>72112.8</v>
      </c>
      <c r="P21" s="108">
        <f t="shared" si="6"/>
        <v>171615.8</v>
      </c>
    </row>
  </sheetData>
  <autoFilter xmlns:etc="http://www.wps.cn/officeDocument/2017/etCustomData" ref="A4:AB21" etc:filterBottomFollowUsedRange="0">
    <extLst/>
  </autoFilter>
  <mergeCells count="16"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A1:P2"/>
  </mergeCells>
  <pageMargins left="0.393055555555556" right="0.393055555555556" top="0.393055555555556" bottom="0.393055555555556" header="0.298611111111111" footer="0.298611111111111"/>
  <pageSetup paperSize="9" scale="5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85" zoomScaleNormal="85" workbookViewId="0">
      <pane ySplit="4" topLeftCell="A5" activePane="bottomLeft" state="frozen"/>
      <selection/>
      <selection pane="bottomLeft" activeCell="F56" sqref="F56"/>
    </sheetView>
  </sheetViews>
  <sheetFormatPr defaultColWidth="9" defaultRowHeight="13.5"/>
  <cols>
    <col min="1" max="1" width="7.49166666666667" style="83" customWidth="1"/>
    <col min="2" max="2" width="14.85" style="83" customWidth="1"/>
    <col min="3" max="3" width="15.2916666666667" style="83" customWidth="1"/>
    <col min="4" max="4" width="18.9666666666667" style="83" customWidth="1"/>
    <col min="5" max="5" width="10.4333333333333" style="83" customWidth="1"/>
    <col min="6" max="6" width="12.0583333333333" style="83" customWidth="1"/>
    <col min="7" max="7" width="11.4666666666667" style="83" customWidth="1"/>
    <col min="8" max="8" width="12.7916666666667" style="83" customWidth="1"/>
    <col min="9" max="10" width="13.5333333333333" style="83" customWidth="1"/>
    <col min="11" max="12" width="13.9666666666667" style="83" customWidth="1"/>
    <col min="13" max="13" width="14.85" style="84" customWidth="1"/>
    <col min="14" max="14" width="7.2" style="84" customWidth="1"/>
    <col min="15" max="15" width="12.7916666666667" style="84" customWidth="1"/>
    <col min="16" max="16" width="15" style="83" customWidth="1"/>
    <col min="17" max="17" width="12.625" style="83"/>
    <col min="18" max="19" width="9" style="83"/>
    <col min="20" max="20" width="9.33333333333333" style="83"/>
    <col min="21" max="16384" width="9" style="83"/>
  </cols>
  <sheetData>
    <row r="1" s="80" customFormat="1" ht="18.75" spans="1:16">
      <c r="A1" s="85" t="s">
        <v>265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="80" customFormat="1" ht="25.05" customHeight="1" spans="1:16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="80" customFormat="1" ht="37" customHeight="1" spans="1:16">
      <c r="A3" s="86" t="s">
        <v>1</v>
      </c>
      <c r="B3" s="86" t="s">
        <v>226</v>
      </c>
      <c r="C3" s="86" t="s">
        <v>227</v>
      </c>
      <c r="D3" s="86" t="s">
        <v>228</v>
      </c>
      <c r="E3" s="86" t="s">
        <v>229</v>
      </c>
      <c r="F3" s="87" t="s">
        <v>34</v>
      </c>
      <c r="G3" s="87" t="s">
        <v>230</v>
      </c>
      <c r="H3" s="88" t="s">
        <v>231</v>
      </c>
      <c r="I3" s="88" t="s">
        <v>232</v>
      </c>
      <c r="J3" s="88" t="s">
        <v>233</v>
      </c>
      <c r="K3" s="88" t="s">
        <v>234</v>
      </c>
      <c r="L3" s="88"/>
      <c r="M3" s="88" t="s">
        <v>235</v>
      </c>
      <c r="N3" s="88" t="s">
        <v>236</v>
      </c>
      <c r="O3" s="88" t="s">
        <v>237</v>
      </c>
      <c r="P3" s="88" t="s">
        <v>238</v>
      </c>
    </row>
    <row r="4" s="80" customFormat="1" ht="38" customHeight="1" spans="1:16">
      <c r="A4" s="86"/>
      <c r="B4" s="86"/>
      <c r="C4" s="86"/>
      <c r="D4" s="86"/>
      <c r="E4" s="86"/>
      <c r="F4" s="89"/>
      <c r="G4" s="89"/>
      <c r="H4" s="88"/>
      <c r="I4" s="88"/>
      <c r="J4" s="88"/>
      <c r="K4" s="90" t="s">
        <v>239</v>
      </c>
      <c r="L4" s="90" t="s">
        <v>240</v>
      </c>
      <c r="M4" s="88"/>
      <c r="N4" s="88"/>
      <c r="O4" s="88"/>
      <c r="P4" s="88"/>
    </row>
    <row r="5" s="81" customFormat="1" ht="30" customHeight="1" spans="1:16">
      <c r="A5" s="91">
        <f t="shared" ref="A5:A23" si="0">ROW()-4</f>
        <v>1</v>
      </c>
      <c r="B5" s="92" t="s">
        <v>266</v>
      </c>
      <c r="C5" s="93" t="s">
        <v>267</v>
      </c>
      <c r="D5" s="93" t="s">
        <v>21</v>
      </c>
      <c r="E5" s="93" t="s">
        <v>254</v>
      </c>
      <c r="F5" s="93" t="s">
        <v>246</v>
      </c>
      <c r="G5" s="93">
        <v>3200</v>
      </c>
      <c r="H5" s="94">
        <f>5.4/2</f>
        <v>2.7</v>
      </c>
      <c r="I5" s="94">
        <f t="shared" ref="I5:I23" si="1">G5*H5</f>
        <v>8640</v>
      </c>
      <c r="J5" s="94">
        <f t="shared" ref="J5:J23" si="2">G5</f>
        <v>3200</v>
      </c>
      <c r="K5" s="95">
        <f>20/2</f>
        <v>10</v>
      </c>
      <c r="L5" s="96">
        <f>5/2</f>
        <v>2.5</v>
      </c>
      <c r="M5" s="97">
        <f t="shared" ref="M5:M23" si="3">J5*(K5+L5)</f>
        <v>40000</v>
      </c>
      <c r="N5" s="98">
        <v>0.25</v>
      </c>
      <c r="O5" s="99">
        <f t="shared" ref="O5:O23" si="4">M5*N5</f>
        <v>10000</v>
      </c>
      <c r="P5" s="95">
        <f t="shared" ref="P5:P23" si="5">I5+O5</f>
        <v>18640</v>
      </c>
    </row>
    <row r="6" s="81" customFormat="1" ht="30" customHeight="1" spans="1:16">
      <c r="A6" s="91">
        <f t="shared" si="0"/>
        <v>2</v>
      </c>
      <c r="B6" s="92" t="s">
        <v>268</v>
      </c>
      <c r="C6" s="93" t="s">
        <v>75</v>
      </c>
      <c r="D6" s="93" t="s">
        <v>21</v>
      </c>
      <c r="E6" s="93" t="s">
        <v>254</v>
      </c>
      <c r="F6" s="93" t="s">
        <v>246</v>
      </c>
      <c r="G6" s="93">
        <v>1300</v>
      </c>
      <c r="H6" s="94">
        <f>5.4/2</f>
        <v>2.7</v>
      </c>
      <c r="I6" s="94">
        <f t="shared" si="1"/>
        <v>3510</v>
      </c>
      <c r="J6" s="94">
        <v>1300</v>
      </c>
      <c r="K6" s="95">
        <f>20/2</f>
        <v>10</v>
      </c>
      <c r="L6" s="96">
        <f>5/2</f>
        <v>2.5</v>
      </c>
      <c r="M6" s="97">
        <f t="shared" si="3"/>
        <v>16250</v>
      </c>
      <c r="N6" s="98">
        <v>0.4</v>
      </c>
      <c r="O6" s="99">
        <f t="shared" si="4"/>
        <v>6500</v>
      </c>
      <c r="P6" s="95">
        <f t="shared" si="5"/>
        <v>10010</v>
      </c>
    </row>
    <row r="7" s="81" customFormat="1" ht="37" customHeight="1" spans="1:16">
      <c r="A7" s="91">
        <f t="shared" si="0"/>
        <v>3</v>
      </c>
      <c r="B7" s="92" t="s">
        <v>75</v>
      </c>
      <c r="C7" s="93" t="s">
        <v>23</v>
      </c>
      <c r="D7" s="93" t="s">
        <v>269</v>
      </c>
      <c r="E7" s="93" t="s">
        <v>245</v>
      </c>
      <c r="F7" s="93" t="s">
        <v>270</v>
      </c>
      <c r="G7" s="93">
        <v>2100</v>
      </c>
      <c r="H7" s="94">
        <v>6.2</v>
      </c>
      <c r="I7" s="94">
        <f t="shared" si="1"/>
        <v>13020</v>
      </c>
      <c r="J7" s="94">
        <f t="shared" si="2"/>
        <v>2100</v>
      </c>
      <c r="K7" s="95">
        <v>20</v>
      </c>
      <c r="L7" s="96">
        <v>6</v>
      </c>
      <c r="M7" s="97">
        <f t="shared" si="3"/>
        <v>54600</v>
      </c>
      <c r="N7" s="98">
        <v>0.25</v>
      </c>
      <c r="O7" s="99">
        <f t="shared" si="4"/>
        <v>13650</v>
      </c>
      <c r="P7" s="95">
        <f t="shared" si="5"/>
        <v>26670</v>
      </c>
    </row>
    <row r="8" s="81" customFormat="1" ht="30" customHeight="1" spans="1:16">
      <c r="A8" s="91">
        <f t="shared" si="0"/>
        <v>4</v>
      </c>
      <c r="B8" s="92" t="s">
        <v>69</v>
      </c>
      <c r="C8" s="93" t="s">
        <v>23</v>
      </c>
      <c r="D8" s="93" t="s">
        <v>269</v>
      </c>
      <c r="E8" s="93" t="s">
        <v>243</v>
      </c>
      <c r="F8" s="93" t="s">
        <v>246</v>
      </c>
      <c r="G8" s="93">
        <v>2100</v>
      </c>
      <c r="H8" s="94">
        <f>7.8-1</f>
        <v>6.8</v>
      </c>
      <c r="I8" s="94">
        <f t="shared" si="1"/>
        <v>14280</v>
      </c>
      <c r="J8" s="94">
        <f t="shared" si="2"/>
        <v>2100</v>
      </c>
      <c r="K8" s="95">
        <v>16</v>
      </c>
      <c r="L8" s="96">
        <v>9</v>
      </c>
      <c r="M8" s="97">
        <f t="shared" si="3"/>
        <v>52500</v>
      </c>
      <c r="N8" s="98">
        <v>0.25</v>
      </c>
      <c r="O8" s="99">
        <f t="shared" si="4"/>
        <v>13125</v>
      </c>
      <c r="P8" s="95">
        <f t="shared" si="5"/>
        <v>27405</v>
      </c>
    </row>
    <row r="9" s="81" customFormat="1" ht="30" customHeight="1" spans="1:16">
      <c r="A9" s="91">
        <f t="shared" si="0"/>
        <v>5</v>
      </c>
      <c r="B9" s="92" t="s">
        <v>271</v>
      </c>
      <c r="C9" s="93" t="s">
        <v>21</v>
      </c>
      <c r="D9" s="93" t="s">
        <v>272</v>
      </c>
      <c r="E9" s="93" t="s">
        <v>251</v>
      </c>
      <c r="F9" s="93" t="s">
        <v>244</v>
      </c>
      <c r="G9" s="93">
        <v>100</v>
      </c>
      <c r="H9" s="94">
        <v>6.5</v>
      </c>
      <c r="I9" s="94">
        <f t="shared" si="1"/>
        <v>650</v>
      </c>
      <c r="J9" s="94">
        <f t="shared" si="2"/>
        <v>100</v>
      </c>
      <c r="K9" s="95">
        <v>0</v>
      </c>
      <c r="L9" s="96">
        <v>0</v>
      </c>
      <c r="M9" s="97">
        <f t="shared" si="3"/>
        <v>0</v>
      </c>
      <c r="N9" s="98">
        <v>0</v>
      </c>
      <c r="O9" s="99">
        <f t="shared" si="4"/>
        <v>0</v>
      </c>
      <c r="P9" s="95">
        <f t="shared" si="5"/>
        <v>650</v>
      </c>
    </row>
    <row r="10" s="81" customFormat="1" ht="30" customHeight="1" spans="1:16">
      <c r="A10" s="91">
        <f t="shared" si="0"/>
        <v>6</v>
      </c>
      <c r="B10" s="92" t="s">
        <v>71</v>
      </c>
      <c r="C10" s="93" t="s">
        <v>21</v>
      </c>
      <c r="D10" s="93" t="s">
        <v>273</v>
      </c>
      <c r="E10" s="93" t="s">
        <v>245</v>
      </c>
      <c r="F10" s="93" t="s">
        <v>246</v>
      </c>
      <c r="G10" s="93">
        <v>1500</v>
      </c>
      <c r="H10" s="94">
        <v>4.6</v>
      </c>
      <c r="I10" s="94">
        <f t="shared" si="1"/>
        <v>6900</v>
      </c>
      <c r="J10" s="94">
        <f t="shared" si="2"/>
        <v>1500</v>
      </c>
      <c r="K10" s="95">
        <f>9-1</f>
        <v>8</v>
      </c>
      <c r="L10" s="96">
        <v>0</v>
      </c>
      <c r="M10" s="97">
        <f t="shared" si="3"/>
        <v>12000</v>
      </c>
      <c r="N10" s="98">
        <v>0.6</v>
      </c>
      <c r="O10" s="99">
        <f t="shared" si="4"/>
        <v>7200</v>
      </c>
      <c r="P10" s="95">
        <f t="shared" si="5"/>
        <v>14100</v>
      </c>
    </row>
    <row r="11" s="81" customFormat="1" ht="30" customHeight="1" spans="1:16">
      <c r="A11" s="91">
        <f t="shared" si="0"/>
        <v>7</v>
      </c>
      <c r="B11" s="92" t="s">
        <v>65</v>
      </c>
      <c r="C11" s="93" t="s">
        <v>273</v>
      </c>
      <c r="D11" s="93" t="s">
        <v>274</v>
      </c>
      <c r="E11" s="93" t="s">
        <v>245</v>
      </c>
      <c r="F11" s="93" t="s">
        <v>246</v>
      </c>
      <c r="G11" s="93">
        <v>840</v>
      </c>
      <c r="H11" s="94">
        <f>7.2-1</f>
        <v>6.2</v>
      </c>
      <c r="I11" s="94">
        <f t="shared" si="1"/>
        <v>5208</v>
      </c>
      <c r="J11" s="94">
        <f t="shared" si="2"/>
        <v>840</v>
      </c>
      <c r="K11" s="95">
        <f>7.4-0.4-0.7</f>
        <v>6.3</v>
      </c>
      <c r="L11" s="96">
        <v>4.8</v>
      </c>
      <c r="M11" s="97">
        <f t="shared" si="3"/>
        <v>9324</v>
      </c>
      <c r="N11" s="98">
        <v>0.4</v>
      </c>
      <c r="O11" s="99">
        <f t="shared" si="4"/>
        <v>3729.6</v>
      </c>
      <c r="P11" s="95">
        <f t="shared" si="5"/>
        <v>8937.6</v>
      </c>
    </row>
    <row r="12" s="81" customFormat="1" ht="30" customHeight="1" spans="1:16">
      <c r="A12" s="91">
        <f t="shared" si="0"/>
        <v>8</v>
      </c>
      <c r="B12" s="92" t="s">
        <v>67</v>
      </c>
      <c r="C12" s="93" t="s">
        <v>275</v>
      </c>
      <c r="D12" s="93" t="s">
        <v>23</v>
      </c>
      <c r="E12" s="93" t="s">
        <v>245</v>
      </c>
      <c r="F12" s="93" t="s">
        <v>246</v>
      </c>
      <c r="G12" s="93">
        <v>1000</v>
      </c>
      <c r="H12" s="94">
        <f>4.4-1</f>
        <v>3.4</v>
      </c>
      <c r="I12" s="94">
        <f t="shared" si="1"/>
        <v>3400</v>
      </c>
      <c r="J12" s="94">
        <f t="shared" si="2"/>
        <v>1000</v>
      </c>
      <c r="K12" s="95">
        <f>7.2-1</f>
        <v>6.2</v>
      </c>
      <c r="L12" s="96">
        <v>5</v>
      </c>
      <c r="M12" s="97">
        <f t="shared" si="3"/>
        <v>11200</v>
      </c>
      <c r="N12" s="98">
        <v>0.4</v>
      </c>
      <c r="O12" s="99">
        <f t="shared" si="4"/>
        <v>4480</v>
      </c>
      <c r="P12" s="95">
        <f t="shared" si="5"/>
        <v>7880</v>
      </c>
    </row>
    <row r="13" s="81" customFormat="1" ht="30" customHeight="1" spans="1:16">
      <c r="A13" s="91">
        <f t="shared" si="0"/>
        <v>9</v>
      </c>
      <c r="B13" s="92" t="s">
        <v>85</v>
      </c>
      <c r="C13" s="93" t="s">
        <v>23</v>
      </c>
      <c r="D13" s="93" t="s">
        <v>276</v>
      </c>
      <c r="E13" s="93" t="s">
        <v>245</v>
      </c>
      <c r="F13" s="93" t="s">
        <v>246</v>
      </c>
      <c r="G13" s="93">
        <v>790</v>
      </c>
      <c r="H13" s="94">
        <f>7.2-1</f>
        <v>6.2</v>
      </c>
      <c r="I13" s="94">
        <f t="shared" si="1"/>
        <v>4898</v>
      </c>
      <c r="J13" s="94">
        <f t="shared" si="2"/>
        <v>790</v>
      </c>
      <c r="K13" s="95">
        <f>7.6-1</f>
        <v>6.6</v>
      </c>
      <c r="L13" s="96">
        <v>7</v>
      </c>
      <c r="M13" s="97">
        <f t="shared" si="3"/>
        <v>10744</v>
      </c>
      <c r="N13" s="98">
        <v>0.35</v>
      </c>
      <c r="O13" s="99">
        <f t="shared" si="4"/>
        <v>3760.4</v>
      </c>
      <c r="P13" s="95">
        <f t="shared" si="5"/>
        <v>8658.4</v>
      </c>
    </row>
    <row r="14" s="81" customFormat="1" ht="30" customHeight="1" spans="1:16">
      <c r="A14" s="91">
        <f t="shared" si="0"/>
        <v>10</v>
      </c>
      <c r="B14" s="92" t="s">
        <v>274</v>
      </c>
      <c r="C14" s="93" t="s">
        <v>255</v>
      </c>
      <c r="D14" s="93" t="s">
        <v>23</v>
      </c>
      <c r="E14" s="93" t="s">
        <v>245</v>
      </c>
      <c r="F14" s="93" t="s">
        <v>246</v>
      </c>
      <c r="G14" s="93">
        <v>750</v>
      </c>
      <c r="H14" s="94">
        <f>6.4-1</f>
        <v>5.4</v>
      </c>
      <c r="I14" s="94">
        <f t="shared" si="1"/>
        <v>4050</v>
      </c>
      <c r="J14" s="94">
        <f t="shared" si="2"/>
        <v>750</v>
      </c>
      <c r="K14" s="95">
        <f>10-0.8</f>
        <v>9.2</v>
      </c>
      <c r="L14" s="96">
        <v>7</v>
      </c>
      <c r="M14" s="97">
        <f t="shared" si="3"/>
        <v>12150</v>
      </c>
      <c r="N14" s="98">
        <v>0.35</v>
      </c>
      <c r="O14" s="99">
        <f t="shared" si="4"/>
        <v>4252.5</v>
      </c>
      <c r="P14" s="95">
        <f t="shared" si="5"/>
        <v>8302.5</v>
      </c>
    </row>
    <row r="15" s="81" customFormat="1" ht="30" customHeight="1" spans="1:16">
      <c r="A15" s="91">
        <f t="shared" si="0"/>
        <v>11</v>
      </c>
      <c r="B15" s="92" t="s">
        <v>21</v>
      </c>
      <c r="C15" s="93" t="s">
        <v>71</v>
      </c>
      <c r="D15" s="93" t="s">
        <v>277</v>
      </c>
      <c r="E15" s="93" t="s">
        <v>243</v>
      </c>
      <c r="F15" s="93" t="s">
        <v>246</v>
      </c>
      <c r="G15" s="93">
        <v>290</v>
      </c>
      <c r="H15" s="94">
        <v>1.9</v>
      </c>
      <c r="I15" s="94">
        <f t="shared" si="1"/>
        <v>551</v>
      </c>
      <c r="J15" s="94">
        <f t="shared" si="2"/>
        <v>290</v>
      </c>
      <c r="K15" s="95">
        <v>3.6</v>
      </c>
      <c r="L15" s="96">
        <v>0</v>
      </c>
      <c r="M15" s="97">
        <f t="shared" si="3"/>
        <v>1044</v>
      </c>
      <c r="N15" s="98">
        <v>1</v>
      </c>
      <c r="O15" s="99">
        <f t="shared" si="4"/>
        <v>1044</v>
      </c>
      <c r="P15" s="95">
        <f t="shared" si="5"/>
        <v>1595</v>
      </c>
    </row>
    <row r="16" s="81" customFormat="1" ht="30" customHeight="1" spans="1:16">
      <c r="A16" s="91">
        <f t="shared" si="0"/>
        <v>12</v>
      </c>
      <c r="B16" s="92" t="s">
        <v>21</v>
      </c>
      <c r="C16" s="93" t="s">
        <v>23</v>
      </c>
      <c r="D16" s="93" t="s">
        <v>255</v>
      </c>
      <c r="E16" s="93" t="s">
        <v>254</v>
      </c>
      <c r="F16" s="93" t="s">
        <v>246</v>
      </c>
      <c r="G16" s="93">
        <v>270</v>
      </c>
      <c r="H16" s="94">
        <f>5.2-1</f>
        <v>4.2</v>
      </c>
      <c r="I16" s="94">
        <f t="shared" si="1"/>
        <v>1134</v>
      </c>
      <c r="J16" s="94">
        <f t="shared" si="2"/>
        <v>270</v>
      </c>
      <c r="K16" s="95">
        <f>10.5-0.5</f>
        <v>10</v>
      </c>
      <c r="L16" s="96">
        <v>0</v>
      </c>
      <c r="M16" s="97">
        <f t="shared" si="3"/>
        <v>2700</v>
      </c>
      <c r="N16" s="98">
        <v>0.5</v>
      </c>
      <c r="O16" s="99">
        <f t="shared" si="4"/>
        <v>1350</v>
      </c>
      <c r="P16" s="95">
        <f t="shared" si="5"/>
        <v>2484</v>
      </c>
    </row>
    <row r="17" s="81" customFormat="1" ht="30" customHeight="1" spans="1:16">
      <c r="A17" s="91">
        <f t="shared" si="0"/>
        <v>13</v>
      </c>
      <c r="B17" s="92" t="s">
        <v>275</v>
      </c>
      <c r="C17" s="93" t="s">
        <v>69</v>
      </c>
      <c r="D17" s="93" t="s">
        <v>278</v>
      </c>
      <c r="E17" s="93" t="s">
        <v>243</v>
      </c>
      <c r="F17" s="93" t="s">
        <v>246</v>
      </c>
      <c r="G17" s="93">
        <v>860</v>
      </c>
      <c r="H17" s="94">
        <f>6.8-2</f>
        <v>4.8</v>
      </c>
      <c r="I17" s="94">
        <f t="shared" si="1"/>
        <v>4128</v>
      </c>
      <c r="J17" s="94">
        <f t="shared" si="2"/>
        <v>860</v>
      </c>
      <c r="K17" s="95">
        <f>20-4</f>
        <v>16</v>
      </c>
      <c r="L17" s="96">
        <v>5.6</v>
      </c>
      <c r="M17" s="97">
        <f t="shared" si="3"/>
        <v>18576</v>
      </c>
      <c r="N17" s="98">
        <v>0.25</v>
      </c>
      <c r="O17" s="99">
        <f t="shared" si="4"/>
        <v>4644</v>
      </c>
      <c r="P17" s="95">
        <f t="shared" si="5"/>
        <v>8772</v>
      </c>
    </row>
    <row r="18" s="81" customFormat="1" ht="38" customHeight="1" spans="1:16">
      <c r="A18" s="91">
        <f t="shared" si="0"/>
        <v>14</v>
      </c>
      <c r="B18" s="92" t="s">
        <v>79</v>
      </c>
      <c r="C18" s="93" t="s">
        <v>69</v>
      </c>
      <c r="D18" s="93" t="s">
        <v>278</v>
      </c>
      <c r="E18" s="93" t="s">
        <v>243</v>
      </c>
      <c r="F18" s="93" t="s">
        <v>246</v>
      </c>
      <c r="G18" s="93">
        <v>800</v>
      </c>
      <c r="H18" s="94">
        <f>8.8-2</f>
        <v>6.8</v>
      </c>
      <c r="I18" s="94">
        <f t="shared" si="1"/>
        <v>5440</v>
      </c>
      <c r="J18" s="94">
        <f t="shared" si="2"/>
        <v>800</v>
      </c>
      <c r="K18" s="95">
        <v>7.1</v>
      </c>
      <c r="L18" s="96">
        <v>7.4</v>
      </c>
      <c r="M18" s="97">
        <f t="shared" si="3"/>
        <v>11600</v>
      </c>
      <c r="N18" s="98">
        <v>0.35</v>
      </c>
      <c r="O18" s="99">
        <f t="shared" si="4"/>
        <v>4060</v>
      </c>
      <c r="P18" s="95">
        <f t="shared" si="5"/>
        <v>9500</v>
      </c>
    </row>
    <row r="19" s="81" customFormat="1" ht="30" customHeight="1" spans="1:16">
      <c r="A19" s="91">
        <f t="shared" si="0"/>
        <v>15</v>
      </c>
      <c r="B19" s="92" t="s">
        <v>279</v>
      </c>
      <c r="C19" s="93" t="s">
        <v>69</v>
      </c>
      <c r="D19" s="93" t="s">
        <v>279</v>
      </c>
      <c r="E19" s="93" t="s">
        <v>251</v>
      </c>
      <c r="F19" s="93" t="s">
        <v>244</v>
      </c>
      <c r="G19" s="93">
        <v>350</v>
      </c>
      <c r="H19" s="94">
        <f>4-4</f>
        <v>0</v>
      </c>
      <c r="I19" s="94">
        <f t="shared" si="1"/>
        <v>0</v>
      </c>
      <c r="J19" s="94">
        <f t="shared" si="2"/>
        <v>350</v>
      </c>
      <c r="K19" s="95">
        <v>6.3</v>
      </c>
      <c r="L19" s="96">
        <v>0</v>
      </c>
      <c r="M19" s="97">
        <f t="shared" si="3"/>
        <v>2205</v>
      </c>
      <c r="N19" s="98">
        <v>0.8</v>
      </c>
      <c r="O19" s="99">
        <f t="shared" si="4"/>
        <v>1764</v>
      </c>
      <c r="P19" s="95">
        <f t="shared" si="5"/>
        <v>1764</v>
      </c>
    </row>
    <row r="20" s="81" customFormat="1" ht="30" customHeight="1" spans="1:16">
      <c r="A20" s="91">
        <f t="shared" si="0"/>
        <v>16</v>
      </c>
      <c r="B20" s="92" t="s">
        <v>73</v>
      </c>
      <c r="C20" s="93" t="s">
        <v>23</v>
      </c>
      <c r="D20" s="93" t="s">
        <v>71</v>
      </c>
      <c r="E20" s="93" t="s">
        <v>243</v>
      </c>
      <c r="F20" s="93" t="s">
        <v>246</v>
      </c>
      <c r="G20" s="93">
        <v>450</v>
      </c>
      <c r="H20" s="94">
        <v>5.2</v>
      </c>
      <c r="I20" s="94">
        <f t="shared" si="1"/>
        <v>2340</v>
      </c>
      <c r="J20" s="94">
        <f t="shared" si="2"/>
        <v>450</v>
      </c>
      <c r="K20" s="95">
        <v>8</v>
      </c>
      <c r="L20" s="96">
        <v>0</v>
      </c>
      <c r="M20" s="97">
        <f t="shared" si="3"/>
        <v>3600</v>
      </c>
      <c r="N20" s="98">
        <v>0.6</v>
      </c>
      <c r="O20" s="99">
        <f t="shared" si="4"/>
        <v>2160</v>
      </c>
      <c r="P20" s="95">
        <f t="shared" si="5"/>
        <v>4500</v>
      </c>
    </row>
    <row r="21" s="81" customFormat="1" ht="30" customHeight="1" spans="1:16">
      <c r="A21" s="91">
        <f t="shared" si="0"/>
        <v>17</v>
      </c>
      <c r="B21" s="92" t="s">
        <v>77</v>
      </c>
      <c r="C21" s="93" t="s">
        <v>23</v>
      </c>
      <c r="D21" s="93" t="s">
        <v>65</v>
      </c>
      <c r="E21" s="93" t="s">
        <v>245</v>
      </c>
      <c r="F21" s="93" t="s">
        <v>244</v>
      </c>
      <c r="G21" s="93">
        <v>390</v>
      </c>
      <c r="H21" s="94">
        <v>3.6</v>
      </c>
      <c r="I21" s="94">
        <f t="shared" si="1"/>
        <v>1404</v>
      </c>
      <c r="J21" s="94">
        <f t="shared" si="2"/>
        <v>390</v>
      </c>
      <c r="K21" s="95">
        <v>7</v>
      </c>
      <c r="L21" s="96">
        <v>0</v>
      </c>
      <c r="M21" s="97">
        <f t="shared" si="3"/>
        <v>2730</v>
      </c>
      <c r="N21" s="98">
        <v>0.8</v>
      </c>
      <c r="O21" s="99">
        <f t="shared" si="4"/>
        <v>2184</v>
      </c>
      <c r="P21" s="95">
        <f t="shared" si="5"/>
        <v>3588</v>
      </c>
    </row>
    <row r="22" s="81" customFormat="1" ht="30" customHeight="1" spans="1:16">
      <c r="A22" s="91">
        <f t="shared" si="0"/>
        <v>18</v>
      </c>
      <c r="B22" s="92" t="s">
        <v>280</v>
      </c>
      <c r="C22" s="93" t="s">
        <v>281</v>
      </c>
      <c r="D22" s="93" t="s">
        <v>282</v>
      </c>
      <c r="E22" s="93" t="s">
        <v>251</v>
      </c>
      <c r="F22" s="93" t="s">
        <v>244</v>
      </c>
      <c r="G22" s="93">
        <v>315</v>
      </c>
      <c r="H22" s="94">
        <v>1.5</v>
      </c>
      <c r="I22" s="94">
        <f t="shared" si="1"/>
        <v>472.5</v>
      </c>
      <c r="J22" s="94">
        <f t="shared" si="2"/>
        <v>315</v>
      </c>
      <c r="K22" s="95">
        <v>8.3</v>
      </c>
      <c r="L22" s="96">
        <v>0</v>
      </c>
      <c r="M22" s="97">
        <f t="shared" si="3"/>
        <v>2614.5</v>
      </c>
      <c r="N22" s="98">
        <v>0.6</v>
      </c>
      <c r="O22" s="99">
        <f t="shared" si="4"/>
        <v>1568.7</v>
      </c>
      <c r="P22" s="95">
        <f t="shared" si="5"/>
        <v>2041.2</v>
      </c>
    </row>
    <row r="23" s="81" customFormat="1" ht="30" customHeight="1" spans="1:16">
      <c r="A23" s="91">
        <f t="shared" si="0"/>
        <v>19</v>
      </c>
      <c r="B23" s="92" t="s">
        <v>283</v>
      </c>
      <c r="C23" s="93" t="s">
        <v>21</v>
      </c>
      <c r="D23" s="93" t="s">
        <v>284</v>
      </c>
      <c r="E23" s="93" t="s">
        <v>251</v>
      </c>
      <c r="F23" s="93" t="s">
        <v>244</v>
      </c>
      <c r="G23" s="93">
        <v>150</v>
      </c>
      <c r="H23" s="94">
        <v>0</v>
      </c>
      <c r="I23" s="94">
        <f t="shared" si="1"/>
        <v>0</v>
      </c>
      <c r="J23" s="94">
        <f t="shared" si="2"/>
        <v>150</v>
      </c>
      <c r="K23" s="95">
        <v>9</v>
      </c>
      <c r="L23" s="96">
        <v>0</v>
      </c>
      <c r="M23" s="97">
        <f t="shared" si="3"/>
        <v>1350</v>
      </c>
      <c r="N23" s="98">
        <v>0.6</v>
      </c>
      <c r="O23" s="99">
        <f t="shared" si="4"/>
        <v>810</v>
      </c>
      <c r="P23" s="95">
        <f t="shared" si="5"/>
        <v>810</v>
      </c>
    </row>
    <row r="24" s="82" customFormat="1" ht="30" customHeight="1" spans="1:16">
      <c r="A24" s="100"/>
      <c r="B24" s="101" t="s">
        <v>29</v>
      </c>
      <c r="C24" s="102"/>
      <c r="D24" s="102"/>
      <c r="E24" s="102"/>
      <c r="F24" s="102"/>
      <c r="G24" s="102"/>
      <c r="H24" s="103"/>
      <c r="I24" s="103">
        <f>SUM(I5:I23)</f>
        <v>80025.5</v>
      </c>
      <c r="J24" s="103"/>
      <c r="K24" s="105"/>
      <c r="L24" s="106"/>
      <c r="M24" s="104">
        <f t="shared" ref="M24:P24" si="6">SUM(M5:M23)</f>
        <v>265187.5</v>
      </c>
      <c r="N24" s="107"/>
      <c r="O24" s="108">
        <f t="shared" si="6"/>
        <v>86282.2</v>
      </c>
      <c r="P24" s="105">
        <f t="shared" si="6"/>
        <v>166307.7</v>
      </c>
    </row>
  </sheetData>
  <autoFilter xmlns:etc="http://www.wps.cn/officeDocument/2017/etCustomData" ref="A4:AB24" etc:filterBottomFollowUsedRange="0">
    <extLst/>
  </autoFilter>
  <mergeCells count="16"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A1:P2"/>
  </mergeCells>
  <pageMargins left="0.393055555555556" right="0.393055555555556" top="0.393055555555556" bottom="0.393055555555556" header="0.298611111111111" footer="0.298611111111111"/>
  <pageSetup paperSize="9" scale="57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zoomScale="85" zoomScaleNormal="85" workbookViewId="0">
      <pane ySplit="4" topLeftCell="A37" activePane="bottomLeft" state="frozen"/>
      <selection/>
      <selection pane="bottomLeft" activeCell="F56" sqref="F56"/>
    </sheetView>
  </sheetViews>
  <sheetFormatPr defaultColWidth="9" defaultRowHeight="13.5"/>
  <cols>
    <col min="1" max="1" width="7.49166666666667" style="83" customWidth="1"/>
    <col min="2" max="2" width="14.85" style="83" customWidth="1"/>
    <col min="3" max="3" width="15.2916666666667" style="83" customWidth="1"/>
    <col min="4" max="4" width="18.9666666666667" style="83" customWidth="1"/>
    <col min="5" max="5" width="10.4333333333333" style="83" customWidth="1"/>
    <col min="6" max="6" width="12.0583333333333" style="83" customWidth="1"/>
    <col min="7" max="7" width="11.4666666666667" style="83" customWidth="1"/>
    <col min="8" max="8" width="12.7916666666667" style="83" customWidth="1"/>
    <col min="9" max="10" width="13.5333333333333" style="83" customWidth="1"/>
    <col min="11" max="12" width="13.9666666666667" style="83" customWidth="1"/>
    <col min="13" max="13" width="14.85" style="84" customWidth="1"/>
    <col min="14" max="14" width="7.2" style="84" customWidth="1"/>
    <col min="15" max="15" width="12.7916666666667" style="84" customWidth="1"/>
    <col min="16" max="16" width="15" style="83" customWidth="1"/>
    <col min="17" max="17" width="12.625" style="83"/>
    <col min="18" max="19" width="9" style="83"/>
    <col min="20" max="20" width="9.33333333333333" style="83"/>
    <col min="21" max="16384" width="9" style="83"/>
  </cols>
  <sheetData>
    <row r="1" s="80" customFormat="1" ht="18.75" spans="1:16">
      <c r="A1" s="85" t="s">
        <v>285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="80" customFormat="1" ht="25.05" customHeight="1" spans="1:16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="80" customFormat="1" ht="37" customHeight="1" spans="1:16">
      <c r="A3" s="86" t="s">
        <v>1</v>
      </c>
      <c r="B3" s="86" t="s">
        <v>226</v>
      </c>
      <c r="C3" s="86" t="s">
        <v>227</v>
      </c>
      <c r="D3" s="86" t="s">
        <v>228</v>
      </c>
      <c r="E3" s="86" t="s">
        <v>229</v>
      </c>
      <c r="F3" s="87" t="s">
        <v>34</v>
      </c>
      <c r="G3" s="87" t="s">
        <v>230</v>
      </c>
      <c r="H3" s="88" t="s">
        <v>231</v>
      </c>
      <c r="I3" s="88" t="s">
        <v>232</v>
      </c>
      <c r="J3" s="88" t="s">
        <v>233</v>
      </c>
      <c r="K3" s="88" t="s">
        <v>234</v>
      </c>
      <c r="L3" s="88"/>
      <c r="M3" s="88" t="s">
        <v>235</v>
      </c>
      <c r="N3" s="88" t="s">
        <v>236</v>
      </c>
      <c r="O3" s="88" t="s">
        <v>237</v>
      </c>
      <c r="P3" s="88" t="s">
        <v>238</v>
      </c>
    </row>
    <row r="4" s="80" customFormat="1" ht="38" customHeight="1" spans="1:16">
      <c r="A4" s="86"/>
      <c r="B4" s="86"/>
      <c r="C4" s="86"/>
      <c r="D4" s="86"/>
      <c r="E4" s="86"/>
      <c r="F4" s="89"/>
      <c r="G4" s="89"/>
      <c r="H4" s="88"/>
      <c r="I4" s="88"/>
      <c r="J4" s="88"/>
      <c r="K4" s="90" t="s">
        <v>239</v>
      </c>
      <c r="L4" s="90" t="s">
        <v>240</v>
      </c>
      <c r="M4" s="88"/>
      <c r="N4" s="88"/>
      <c r="O4" s="88"/>
      <c r="P4" s="88"/>
    </row>
    <row r="5" s="81" customFormat="1" ht="30" customHeight="1" spans="1:16">
      <c r="A5" s="91">
        <f t="shared" ref="A5:A50" si="0">ROW()-4</f>
        <v>1</v>
      </c>
      <c r="B5" s="92" t="s">
        <v>139</v>
      </c>
      <c r="C5" s="93" t="s">
        <v>147</v>
      </c>
      <c r="D5" s="93" t="s">
        <v>137</v>
      </c>
      <c r="E5" s="93" t="s">
        <v>245</v>
      </c>
      <c r="F5" s="93" t="s">
        <v>246</v>
      </c>
      <c r="G5" s="93">
        <v>780</v>
      </c>
      <c r="H5" s="94">
        <v>9.4</v>
      </c>
      <c r="I5" s="94">
        <f t="shared" ref="I5:I50" si="1">G5*H5</f>
        <v>7332</v>
      </c>
      <c r="J5" s="94">
        <f t="shared" ref="J5:J33" si="2">G5</f>
        <v>780</v>
      </c>
      <c r="K5" s="95">
        <v>4</v>
      </c>
      <c r="L5" s="96">
        <v>8.4</v>
      </c>
      <c r="M5" s="97">
        <f t="shared" ref="M5:M50" si="3">J5*(K5+L5)</f>
        <v>9672</v>
      </c>
      <c r="N5" s="98">
        <v>0.4</v>
      </c>
      <c r="O5" s="99">
        <f t="shared" ref="O5:O50" si="4">M5*N5</f>
        <v>3868.8</v>
      </c>
      <c r="P5" s="95">
        <f t="shared" ref="P5:P50" si="5">I5+O5</f>
        <v>11200.8</v>
      </c>
    </row>
    <row r="6" s="81" customFormat="1" ht="30" customHeight="1" spans="1:16">
      <c r="A6" s="91">
        <f t="shared" si="0"/>
        <v>2</v>
      </c>
      <c r="B6" s="92" t="s">
        <v>117</v>
      </c>
      <c r="C6" s="93" t="s">
        <v>23</v>
      </c>
      <c r="D6" s="93" t="s">
        <v>286</v>
      </c>
      <c r="E6" s="93" t="s">
        <v>245</v>
      </c>
      <c r="F6" s="93" t="s">
        <v>246</v>
      </c>
      <c r="G6" s="93">
        <f>1400</f>
        <v>1400</v>
      </c>
      <c r="H6" s="94">
        <v>7</v>
      </c>
      <c r="I6" s="94">
        <f t="shared" si="1"/>
        <v>9800</v>
      </c>
      <c r="J6" s="94">
        <f t="shared" si="2"/>
        <v>1400</v>
      </c>
      <c r="K6" s="95">
        <v>3.5</v>
      </c>
      <c r="L6" s="96">
        <f>3*2</f>
        <v>6</v>
      </c>
      <c r="M6" s="97">
        <f t="shared" si="3"/>
        <v>13300</v>
      </c>
      <c r="N6" s="98">
        <v>0.5</v>
      </c>
      <c r="O6" s="99">
        <f t="shared" si="4"/>
        <v>6650</v>
      </c>
      <c r="P6" s="95">
        <f t="shared" si="5"/>
        <v>16450</v>
      </c>
    </row>
    <row r="7" s="81" customFormat="1" ht="37" customHeight="1" spans="1:16">
      <c r="A7" s="91">
        <f t="shared" si="0"/>
        <v>3</v>
      </c>
      <c r="B7" s="92" t="s">
        <v>127</v>
      </c>
      <c r="C7" s="93" t="s">
        <v>117</v>
      </c>
      <c r="D7" s="93" t="s">
        <v>75</v>
      </c>
      <c r="E7" s="93" t="s">
        <v>243</v>
      </c>
      <c r="F7" s="93" t="s">
        <v>244</v>
      </c>
      <c r="G7" s="93">
        <v>550</v>
      </c>
      <c r="H7" s="94">
        <v>2</v>
      </c>
      <c r="I7" s="94">
        <f t="shared" si="1"/>
        <v>1100</v>
      </c>
      <c r="J7" s="94">
        <f t="shared" si="2"/>
        <v>550</v>
      </c>
      <c r="K7" s="95">
        <v>5.6</v>
      </c>
      <c r="L7" s="96">
        <v>0</v>
      </c>
      <c r="M7" s="97">
        <f t="shared" si="3"/>
        <v>3080</v>
      </c>
      <c r="N7" s="98">
        <v>0.8</v>
      </c>
      <c r="O7" s="99">
        <f t="shared" si="4"/>
        <v>2464</v>
      </c>
      <c r="P7" s="95">
        <f t="shared" si="5"/>
        <v>3564</v>
      </c>
    </row>
    <row r="8" s="81" customFormat="1" ht="30" customHeight="1" spans="1:16">
      <c r="A8" s="91">
        <f t="shared" si="0"/>
        <v>4</v>
      </c>
      <c r="B8" s="92" t="s">
        <v>11</v>
      </c>
      <c r="C8" s="93" t="s">
        <v>75</v>
      </c>
      <c r="D8" s="93" t="s">
        <v>117</v>
      </c>
      <c r="E8" s="93" t="s">
        <v>245</v>
      </c>
      <c r="F8" s="93" t="s">
        <v>246</v>
      </c>
      <c r="G8" s="93">
        <v>560</v>
      </c>
      <c r="H8" s="94">
        <v>8</v>
      </c>
      <c r="I8" s="94">
        <f t="shared" si="1"/>
        <v>4480</v>
      </c>
      <c r="J8" s="94">
        <f t="shared" si="2"/>
        <v>560</v>
      </c>
      <c r="K8" s="95">
        <v>10</v>
      </c>
      <c r="L8" s="96">
        <f>3*2</f>
        <v>6</v>
      </c>
      <c r="M8" s="97">
        <f t="shared" si="3"/>
        <v>8960</v>
      </c>
      <c r="N8" s="98">
        <v>0.35</v>
      </c>
      <c r="O8" s="99">
        <f t="shared" si="4"/>
        <v>3136</v>
      </c>
      <c r="P8" s="95">
        <f t="shared" si="5"/>
        <v>7616</v>
      </c>
    </row>
    <row r="9" s="81" customFormat="1" ht="30" customHeight="1" spans="1:16">
      <c r="A9" s="91">
        <f t="shared" si="0"/>
        <v>5</v>
      </c>
      <c r="B9" s="92" t="s">
        <v>141</v>
      </c>
      <c r="C9" s="93" t="s">
        <v>137</v>
      </c>
      <c r="D9" s="93" t="s">
        <v>117</v>
      </c>
      <c r="E9" s="93" t="s">
        <v>245</v>
      </c>
      <c r="F9" s="93" t="s">
        <v>270</v>
      </c>
      <c r="G9" s="93">
        <v>1200</v>
      </c>
      <c r="H9" s="94">
        <v>15</v>
      </c>
      <c r="I9" s="94">
        <f t="shared" si="1"/>
        <v>18000</v>
      </c>
      <c r="J9" s="94">
        <f t="shared" si="2"/>
        <v>1200</v>
      </c>
      <c r="K9" s="95">
        <v>7</v>
      </c>
      <c r="L9" s="96">
        <f>4.5*2</f>
        <v>9</v>
      </c>
      <c r="M9" s="97">
        <f t="shared" si="3"/>
        <v>19200</v>
      </c>
      <c r="N9" s="98">
        <v>0.35</v>
      </c>
      <c r="O9" s="99">
        <f t="shared" si="4"/>
        <v>6720</v>
      </c>
      <c r="P9" s="95">
        <f t="shared" si="5"/>
        <v>24720</v>
      </c>
    </row>
    <row r="10" s="81" customFormat="1" ht="30" customHeight="1" spans="1:16">
      <c r="A10" s="91">
        <f t="shared" si="0"/>
        <v>6</v>
      </c>
      <c r="B10" s="92" t="s">
        <v>133</v>
      </c>
      <c r="C10" s="93" t="s">
        <v>149</v>
      </c>
      <c r="D10" s="93" t="s">
        <v>23</v>
      </c>
      <c r="E10" s="93" t="s">
        <v>245</v>
      </c>
      <c r="F10" s="93" t="s">
        <v>246</v>
      </c>
      <c r="G10" s="93">
        <v>190</v>
      </c>
      <c r="H10" s="94">
        <f>4*2</f>
        <v>8</v>
      </c>
      <c r="I10" s="94">
        <f t="shared" si="1"/>
        <v>1520</v>
      </c>
      <c r="J10" s="94">
        <f t="shared" si="2"/>
        <v>190</v>
      </c>
      <c r="K10" s="95">
        <v>5</v>
      </c>
      <c r="L10" s="96">
        <f>2.5*2</f>
        <v>5</v>
      </c>
      <c r="M10" s="97">
        <f t="shared" si="3"/>
        <v>1900</v>
      </c>
      <c r="N10" s="98">
        <v>0.5</v>
      </c>
      <c r="O10" s="99">
        <f t="shared" si="4"/>
        <v>950</v>
      </c>
      <c r="P10" s="95">
        <f t="shared" si="5"/>
        <v>2470</v>
      </c>
    </row>
    <row r="11" s="81" customFormat="1" ht="30" customHeight="1" spans="1:16">
      <c r="A11" s="91">
        <f t="shared" si="0"/>
        <v>7</v>
      </c>
      <c r="B11" s="92" t="s">
        <v>133</v>
      </c>
      <c r="C11" s="93" t="s">
        <v>141</v>
      </c>
      <c r="D11" s="93" t="s">
        <v>287</v>
      </c>
      <c r="E11" s="93" t="s">
        <v>245</v>
      </c>
      <c r="F11" s="93" t="s">
        <v>246</v>
      </c>
      <c r="G11" s="93">
        <v>890</v>
      </c>
      <c r="H11" s="94">
        <f>4*2</f>
        <v>8</v>
      </c>
      <c r="I11" s="94">
        <f t="shared" si="1"/>
        <v>7120</v>
      </c>
      <c r="J11" s="94">
        <f t="shared" si="2"/>
        <v>890</v>
      </c>
      <c r="K11" s="95">
        <v>8</v>
      </c>
      <c r="L11" s="96">
        <v>3.6</v>
      </c>
      <c r="M11" s="97">
        <f t="shared" si="3"/>
        <v>10324</v>
      </c>
      <c r="N11" s="98">
        <v>0.4</v>
      </c>
      <c r="O11" s="99">
        <f t="shared" si="4"/>
        <v>4129.6</v>
      </c>
      <c r="P11" s="95">
        <f t="shared" si="5"/>
        <v>11249.6</v>
      </c>
    </row>
    <row r="12" s="81" customFormat="1" ht="30" customHeight="1" spans="1:16">
      <c r="A12" s="91">
        <f t="shared" si="0"/>
        <v>8</v>
      </c>
      <c r="B12" s="92" t="s">
        <v>135</v>
      </c>
      <c r="C12" s="93" t="s">
        <v>23</v>
      </c>
      <c r="D12" s="93" t="s">
        <v>139</v>
      </c>
      <c r="E12" s="93" t="s">
        <v>245</v>
      </c>
      <c r="F12" s="93" t="s">
        <v>246</v>
      </c>
      <c r="G12" s="93">
        <v>670</v>
      </c>
      <c r="H12" s="94">
        <f>5*2</f>
        <v>10</v>
      </c>
      <c r="I12" s="94">
        <f t="shared" si="1"/>
        <v>6700</v>
      </c>
      <c r="J12" s="94">
        <f t="shared" si="2"/>
        <v>670</v>
      </c>
      <c r="K12" s="95">
        <v>3</v>
      </c>
      <c r="L12" s="96">
        <v>5.6</v>
      </c>
      <c r="M12" s="97">
        <f t="shared" si="3"/>
        <v>5762</v>
      </c>
      <c r="N12" s="98">
        <v>0.6</v>
      </c>
      <c r="O12" s="99">
        <f t="shared" si="4"/>
        <v>3457.2</v>
      </c>
      <c r="P12" s="95">
        <f t="shared" si="5"/>
        <v>10157.2</v>
      </c>
    </row>
    <row r="13" s="81" customFormat="1" ht="30" customHeight="1" spans="1:16">
      <c r="A13" s="91">
        <f t="shared" si="0"/>
        <v>9</v>
      </c>
      <c r="B13" s="92" t="s">
        <v>288</v>
      </c>
      <c r="C13" s="93" t="s">
        <v>289</v>
      </c>
      <c r="D13" s="93" t="s">
        <v>290</v>
      </c>
      <c r="E13" s="93" t="s">
        <v>245</v>
      </c>
      <c r="F13" s="93" t="s">
        <v>246</v>
      </c>
      <c r="G13" s="93">
        <v>450</v>
      </c>
      <c r="H13" s="94">
        <v>3.5</v>
      </c>
      <c r="I13" s="94">
        <f t="shared" si="1"/>
        <v>1575</v>
      </c>
      <c r="J13" s="94">
        <f t="shared" si="2"/>
        <v>450</v>
      </c>
      <c r="K13" s="95">
        <v>0</v>
      </c>
      <c r="L13" s="96">
        <v>0</v>
      </c>
      <c r="M13" s="97">
        <f t="shared" si="3"/>
        <v>0</v>
      </c>
      <c r="N13" s="98">
        <v>0</v>
      </c>
      <c r="O13" s="99">
        <f t="shared" si="4"/>
        <v>0</v>
      </c>
      <c r="P13" s="95">
        <f t="shared" si="5"/>
        <v>1575</v>
      </c>
    </row>
    <row r="14" s="81" customFormat="1" ht="30" customHeight="1" spans="1:16">
      <c r="A14" s="91">
        <f t="shared" si="0"/>
        <v>10</v>
      </c>
      <c r="B14" s="92" t="s">
        <v>131</v>
      </c>
      <c r="C14" s="93" t="s">
        <v>141</v>
      </c>
      <c r="D14" s="93" t="s">
        <v>291</v>
      </c>
      <c r="E14" s="93" t="s">
        <v>245</v>
      </c>
      <c r="F14" s="93" t="s">
        <v>246</v>
      </c>
      <c r="G14" s="93">
        <v>425</v>
      </c>
      <c r="H14" s="94">
        <v>9</v>
      </c>
      <c r="I14" s="94">
        <f t="shared" si="1"/>
        <v>3825</v>
      </c>
      <c r="J14" s="94">
        <f t="shared" si="2"/>
        <v>425</v>
      </c>
      <c r="K14" s="95">
        <v>9</v>
      </c>
      <c r="L14" s="96">
        <v>4</v>
      </c>
      <c r="M14" s="97">
        <f t="shared" si="3"/>
        <v>5525</v>
      </c>
      <c r="N14" s="98">
        <v>0.4</v>
      </c>
      <c r="O14" s="99">
        <f t="shared" si="4"/>
        <v>2210</v>
      </c>
      <c r="P14" s="95">
        <f t="shared" si="5"/>
        <v>6035</v>
      </c>
    </row>
    <row r="15" s="81" customFormat="1" ht="30" customHeight="1" spans="1:16">
      <c r="A15" s="91">
        <f t="shared" si="0"/>
        <v>11</v>
      </c>
      <c r="B15" s="92" t="s">
        <v>137</v>
      </c>
      <c r="C15" s="93" t="s">
        <v>141</v>
      </c>
      <c r="D15" s="93" t="s">
        <v>139</v>
      </c>
      <c r="E15" s="93" t="s">
        <v>245</v>
      </c>
      <c r="F15" s="93" t="s">
        <v>246</v>
      </c>
      <c r="G15" s="93">
        <v>423</v>
      </c>
      <c r="H15" s="94">
        <f>5*2</f>
        <v>10</v>
      </c>
      <c r="I15" s="94">
        <f t="shared" si="1"/>
        <v>4230</v>
      </c>
      <c r="J15" s="94">
        <f t="shared" si="2"/>
        <v>423</v>
      </c>
      <c r="K15" s="95">
        <v>4</v>
      </c>
      <c r="L15" s="96">
        <f>3.8*2</f>
        <v>7.6</v>
      </c>
      <c r="M15" s="97">
        <f t="shared" si="3"/>
        <v>4906.8</v>
      </c>
      <c r="N15" s="98">
        <v>0.4</v>
      </c>
      <c r="O15" s="99">
        <f t="shared" si="4"/>
        <v>1962.72</v>
      </c>
      <c r="P15" s="95">
        <f t="shared" si="5"/>
        <v>6192.72</v>
      </c>
    </row>
    <row r="16" s="81" customFormat="1" ht="30" customHeight="1" spans="1:16">
      <c r="A16" s="91">
        <f t="shared" si="0"/>
        <v>12</v>
      </c>
      <c r="B16" s="92" t="s">
        <v>129</v>
      </c>
      <c r="C16" s="93" t="s">
        <v>141</v>
      </c>
      <c r="D16" s="93" t="s">
        <v>139</v>
      </c>
      <c r="E16" s="93" t="s">
        <v>245</v>
      </c>
      <c r="F16" s="93" t="s">
        <v>246</v>
      </c>
      <c r="G16" s="93">
        <v>440</v>
      </c>
      <c r="H16" s="94">
        <v>9</v>
      </c>
      <c r="I16" s="94">
        <f t="shared" si="1"/>
        <v>3960</v>
      </c>
      <c r="J16" s="94">
        <f t="shared" si="2"/>
        <v>440</v>
      </c>
      <c r="K16" s="95">
        <v>4.5</v>
      </c>
      <c r="L16" s="96">
        <v>3</v>
      </c>
      <c r="M16" s="97">
        <f t="shared" si="3"/>
        <v>3300</v>
      </c>
      <c r="N16" s="98">
        <v>0.6</v>
      </c>
      <c r="O16" s="99">
        <f t="shared" si="4"/>
        <v>1980</v>
      </c>
      <c r="P16" s="95">
        <f t="shared" si="5"/>
        <v>5940</v>
      </c>
    </row>
    <row r="17" s="81" customFormat="1" ht="30" customHeight="1" spans="1:16">
      <c r="A17" s="91">
        <f t="shared" si="0"/>
        <v>13</v>
      </c>
      <c r="B17" s="92" t="s">
        <v>129</v>
      </c>
      <c r="C17" s="93" t="s">
        <v>141</v>
      </c>
      <c r="D17" s="93" t="s">
        <v>147</v>
      </c>
      <c r="E17" s="93" t="s">
        <v>245</v>
      </c>
      <c r="F17" s="93" t="s">
        <v>246</v>
      </c>
      <c r="G17" s="93">
        <v>930</v>
      </c>
      <c r="H17" s="94">
        <f>6*2</f>
        <v>12</v>
      </c>
      <c r="I17" s="94">
        <f t="shared" si="1"/>
        <v>11160</v>
      </c>
      <c r="J17" s="94">
        <f t="shared" si="2"/>
        <v>930</v>
      </c>
      <c r="K17" s="95">
        <f>12+2</f>
        <v>14</v>
      </c>
      <c r="L17" s="96">
        <v>0</v>
      </c>
      <c r="M17" s="97">
        <f t="shared" si="3"/>
        <v>13020</v>
      </c>
      <c r="N17" s="98">
        <v>0.4</v>
      </c>
      <c r="O17" s="99">
        <f t="shared" si="4"/>
        <v>5208</v>
      </c>
      <c r="P17" s="95">
        <f t="shared" si="5"/>
        <v>16368</v>
      </c>
    </row>
    <row r="18" s="81" customFormat="1" ht="38" customHeight="1" spans="1:16">
      <c r="A18" s="91">
        <f t="shared" si="0"/>
        <v>14</v>
      </c>
      <c r="B18" s="92" t="s">
        <v>147</v>
      </c>
      <c r="C18" s="93" t="s">
        <v>23</v>
      </c>
      <c r="D18" s="93" t="s">
        <v>286</v>
      </c>
      <c r="E18" s="93" t="s">
        <v>254</v>
      </c>
      <c r="F18" s="93" t="s">
        <v>246</v>
      </c>
      <c r="G18" s="93">
        <v>1600</v>
      </c>
      <c r="H18" s="94">
        <f>2*2+2+1</f>
        <v>7</v>
      </c>
      <c r="I18" s="94">
        <f t="shared" si="1"/>
        <v>11200</v>
      </c>
      <c r="J18" s="94">
        <f t="shared" si="2"/>
        <v>1600</v>
      </c>
      <c r="K18" s="95">
        <v>12</v>
      </c>
      <c r="L18" s="96">
        <f>2.5*2</f>
        <v>5</v>
      </c>
      <c r="M18" s="97">
        <f t="shared" si="3"/>
        <v>27200</v>
      </c>
      <c r="N18" s="98">
        <v>0.35</v>
      </c>
      <c r="O18" s="99">
        <f t="shared" si="4"/>
        <v>9520</v>
      </c>
      <c r="P18" s="95">
        <f t="shared" si="5"/>
        <v>20720</v>
      </c>
    </row>
    <row r="19" s="81" customFormat="1" ht="30" customHeight="1" spans="1:16">
      <c r="A19" s="91">
        <f t="shared" si="0"/>
        <v>15</v>
      </c>
      <c r="B19" s="92" t="s">
        <v>152</v>
      </c>
      <c r="C19" s="93" t="s">
        <v>123</v>
      </c>
      <c r="D19" s="93" t="s">
        <v>117</v>
      </c>
      <c r="E19" s="93" t="s">
        <v>243</v>
      </c>
      <c r="F19" s="93" t="s">
        <v>246</v>
      </c>
      <c r="G19" s="93">
        <v>423</v>
      </c>
      <c r="H19" s="94">
        <f>2.5*2+2+1</f>
        <v>8</v>
      </c>
      <c r="I19" s="94">
        <f t="shared" si="1"/>
        <v>3384</v>
      </c>
      <c r="J19" s="94">
        <f t="shared" si="2"/>
        <v>423</v>
      </c>
      <c r="K19" s="95">
        <f>7</f>
        <v>7</v>
      </c>
      <c r="L19" s="96">
        <v>0</v>
      </c>
      <c r="M19" s="97">
        <f t="shared" si="3"/>
        <v>2961</v>
      </c>
      <c r="N19" s="98">
        <v>0.8</v>
      </c>
      <c r="O19" s="99">
        <f t="shared" si="4"/>
        <v>2368.8</v>
      </c>
      <c r="P19" s="95">
        <f t="shared" si="5"/>
        <v>5752.8</v>
      </c>
    </row>
    <row r="20" s="81" customFormat="1" ht="30" customHeight="1" spans="1:16">
      <c r="A20" s="91">
        <f t="shared" si="0"/>
        <v>16</v>
      </c>
      <c r="B20" s="92" t="s">
        <v>292</v>
      </c>
      <c r="C20" s="93" t="s">
        <v>293</v>
      </c>
      <c r="D20" s="93" t="s">
        <v>294</v>
      </c>
      <c r="E20" s="93" t="s">
        <v>245</v>
      </c>
      <c r="F20" s="93" t="s">
        <v>244</v>
      </c>
      <c r="G20" s="93">
        <v>150</v>
      </c>
      <c r="H20" s="94">
        <f>3*2</f>
        <v>6</v>
      </c>
      <c r="I20" s="94">
        <f t="shared" si="1"/>
        <v>900</v>
      </c>
      <c r="J20" s="94">
        <f t="shared" si="2"/>
        <v>150</v>
      </c>
      <c r="K20" s="95">
        <f>9.5+1.5</f>
        <v>11</v>
      </c>
      <c r="L20" s="96">
        <v>0</v>
      </c>
      <c r="M20" s="97">
        <f t="shared" si="3"/>
        <v>1650</v>
      </c>
      <c r="N20" s="98">
        <v>0.5</v>
      </c>
      <c r="O20" s="99">
        <f t="shared" si="4"/>
        <v>825</v>
      </c>
      <c r="P20" s="95">
        <f t="shared" si="5"/>
        <v>1725</v>
      </c>
    </row>
    <row r="21" s="81" customFormat="1" ht="30" customHeight="1" spans="1:16">
      <c r="A21" s="91">
        <f t="shared" si="0"/>
        <v>17</v>
      </c>
      <c r="B21" s="92" t="s">
        <v>295</v>
      </c>
      <c r="C21" s="93" t="s">
        <v>296</v>
      </c>
      <c r="D21" s="93" t="s">
        <v>297</v>
      </c>
      <c r="E21" s="93" t="s">
        <v>245</v>
      </c>
      <c r="F21" s="93" t="s">
        <v>244</v>
      </c>
      <c r="G21" s="93">
        <v>390</v>
      </c>
      <c r="H21" s="94">
        <f>6.6+0.4+1</f>
        <v>8</v>
      </c>
      <c r="I21" s="94">
        <f t="shared" si="1"/>
        <v>3120</v>
      </c>
      <c r="J21" s="94">
        <f t="shared" si="2"/>
        <v>390</v>
      </c>
      <c r="K21" s="95">
        <f>7.8+1.2</f>
        <v>9</v>
      </c>
      <c r="L21" s="96">
        <v>0</v>
      </c>
      <c r="M21" s="97">
        <f t="shared" si="3"/>
        <v>3510</v>
      </c>
      <c r="N21" s="98">
        <v>0.6</v>
      </c>
      <c r="O21" s="99">
        <f t="shared" si="4"/>
        <v>2106</v>
      </c>
      <c r="P21" s="95">
        <f t="shared" si="5"/>
        <v>5226</v>
      </c>
    </row>
    <row r="22" s="81" customFormat="1" ht="30" customHeight="1" spans="1:16">
      <c r="A22" s="91">
        <f t="shared" si="0"/>
        <v>18</v>
      </c>
      <c r="B22" s="92" t="s">
        <v>298</v>
      </c>
      <c r="C22" s="93" t="s">
        <v>129</v>
      </c>
      <c r="D22" s="93" t="s">
        <v>297</v>
      </c>
      <c r="E22" s="93" t="s">
        <v>245</v>
      </c>
      <c r="F22" s="93" t="s">
        <v>244</v>
      </c>
      <c r="G22" s="93">
        <v>200</v>
      </c>
      <c r="H22" s="94">
        <v>0</v>
      </c>
      <c r="I22" s="94">
        <f t="shared" si="1"/>
        <v>0</v>
      </c>
      <c r="J22" s="94">
        <f t="shared" si="2"/>
        <v>200</v>
      </c>
      <c r="K22" s="95">
        <f>9</f>
        <v>9</v>
      </c>
      <c r="L22" s="96">
        <v>0</v>
      </c>
      <c r="M22" s="97">
        <f t="shared" si="3"/>
        <v>1800</v>
      </c>
      <c r="N22" s="98">
        <v>0.6</v>
      </c>
      <c r="O22" s="99">
        <f t="shared" si="4"/>
        <v>1080</v>
      </c>
      <c r="P22" s="95">
        <f t="shared" si="5"/>
        <v>1080</v>
      </c>
    </row>
    <row r="23" s="81" customFormat="1" ht="30" customHeight="1" spans="1:16">
      <c r="A23" s="91">
        <f t="shared" si="0"/>
        <v>19</v>
      </c>
      <c r="B23" s="92" t="s">
        <v>299</v>
      </c>
      <c r="C23" s="93" t="s">
        <v>135</v>
      </c>
      <c r="D23" s="93" t="s">
        <v>133</v>
      </c>
      <c r="E23" s="93" t="s">
        <v>245</v>
      </c>
      <c r="F23" s="93" t="s">
        <v>244</v>
      </c>
      <c r="G23" s="93">
        <v>370</v>
      </c>
      <c r="H23" s="94">
        <v>0</v>
      </c>
      <c r="I23" s="94">
        <f t="shared" si="1"/>
        <v>0</v>
      </c>
      <c r="J23" s="94">
        <f t="shared" si="2"/>
        <v>370</v>
      </c>
      <c r="K23" s="95">
        <f>8+1</f>
        <v>9</v>
      </c>
      <c r="L23" s="96">
        <v>0</v>
      </c>
      <c r="M23" s="97">
        <f t="shared" si="3"/>
        <v>3330</v>
      </c>
      <c r="N23" s="98">
        <v>0.6</v>
      </c>
      <c r="O23" s="99">
        <f t="shared" si="4"/>
        <v>1998</v>
      </c>
      <c r="P23" s="95">
        <f t="shared" si="5"/>
        <v>1998</v>
      </c>
    </row>
    <row r="24" s="81" customFormat="1" ht="30" customHeight="1" spans="1:16">
      <c r="A24" s="91">
        <f t="shared" si="0"/>
        <v>20</v>
      </c>
      <c r="B24" s="92" t="s">
        <v>300</v>
      </c>
      <c r="C24" s="93" t="s">
        <v>301</v>
      </c>
      <c r="D24" s="93" t="s">
        <v>302</v>
      </c>
      <c r="E24" s="93" t="s">
        <v>245</v>
      </c>
      <c r="F24" s="93" t="s">
        <v>244</v>
      </c>
      <c r="G24" s="93">
        <v>153</v>
      </c>
      <c r="H24" s="94">
        <v>0</v>
      </c>
      <c r="I24" s="94">
        <f t="shared" si="1"/>
        <v>0</v>
      </c>
      <c r="J24" s="94">
        <f t="shared" si="2"/>
        <v>153</v>
      </c>
      <c r="K24" s="95">
        <v>7</v>
      </c>
      <c r="L24" s="96">
        <v>0</v>
      </c>
      <c r="M24" s="97">
        <f t="shared" si="3"/>
        <v>1071</v>
      </c>
      <c r="N24" s="98">
        <v>0.8</v>
      </c>
      <c r="O24" s="99">
        <f t="shared" si="4"/>
        <v>856.8</v>
      </c>
      <c r="P24" s="95">
        <f t="shared" si="5"/>
        <v>856.8</v>
      </c>
    </row>
    <row r="25" s="81" customFormat="1" ht="30" customHeight="1" spans="1:16">
      <c r="A25" s="91">
        <f t="shared" si="0"/>
        <v>21</v>
      </c>
      <c r="B25" s="92" t="s">
        <v>303</v>
      </c>
      <c r="C25" s="93" t="s">
        <v>135</v>
      </c>
      <c r="D25" s="93" t="s">
        <v>304</v>
      </c>
      <c r="E25" s="93" t="s">
        <v>251</v>
      </c>
      <c r="F25" s="93" t="s">
        <v>244</v>
      </c>
      <c r="G25" s="93">
        <f>260+140</f>
        <v>400</v>
      </c>
      <c r="H25" s="94">
        <v>0</v>
      </c>
      <c r="I25" s="94">
        <f t="shared" si="1"/>
        <v>0</v>
      </c>
      <c r="J25" s="94">
        <f t="shared" si="2"/>
        <v>400</v>
      </c>
      <c r="K25" s="95">
        <f>7.3+0.7+1</f>
        <v>9</v>
      </c>
      <c r="L25" s="96">
        <v>0</v>
      </c>
      <c r="M25" s="97">
        <f t="shared" si="3"/>
        <v>3600</v>
      </c>
      <c r="N25" s="98">
        <v>0.6</v>
      </c>
      <c r="O25" s="99">
        <f t="shared" si="4"/>
        <v>2160</v>
      </c>
      <c r="P25" s="95">
        <f t="shared" si="5"/>
        <v>2160</v>
      </c>
    </row>
    <row r="26" s="81" customFormat="1" ht="30" customHeight="1" spans="1:16">
      <c r="A26" s="91">
        <f t="shared" si="0"/>
        <v>22</v>
      </c>
      <c r="B26" s="92" t="s">
        <v>293</v>
      </c>
      <c r="C26" s="93" t="s">
        <v>201</v>
      </c>
      <c r="D26" s="93" t="s">
        <v>147</v>
      </c>
      <c r="E26" s="93" t="s">
        <v>243</v>
      </c>
      <c r="F26" s="93" t="s">
        <v>244</v>
      </c>
      <c r="G26" s="93">
        <v>622</v>
      </c>
      <c r="H26" s="94">
        <v>5</v>
      </c>
      <c r="I26" s="94">
        <f t="shared" si="1"/>
        <v>3110</v>
      </c>
      <c r="J26" s="94">
        <f t="shared" si="2"/>
        <v>622</v>
      </c>
      <c r="K26" s="95">
        <f>9</f>
        <v>9</v>
      </c>
      <c r="L26" s="96">
        <v>0</v>
      </c>
      <c r="M26" s="97">
        <f t="shared" si="3"/>
        <v>5598</v>
      </c>
      <c r="N26" s="98">
        <v>0.6</v>
      </c>
      <c r="O26" s="99">
        <f t="shared" si="4"/>
        <v>3358.8</v>
      </c>
      <c r="P26" s="95">
        <f t="shared" si="5"/>
        <v>6468.8</v>
      </c>
    </row>
    <row r="27" s="81" customFormat="1" ht="30" customHeight="1" spans="1:16">
      <c r="A27" s="91">
        <f t="shared" si="0"/>
        <v>23</v>
      </c>
      <c r="B27" s="92" t="s">
        <v>201</v>
      </c>
      <c r="C27" s="93" t="s">
        <v>305</v>
      </c>
      <c r="D27" s="93" t="s">
        <v>306</v>
      </c>
      <c r="E27" s="93" t="s">
        <v>243</v>
      </c>
      <c r="F27" s="93" t="s">
        <v>244</v>
      </c>
      <c r="G27" s="93">
        <v>475</v>
      </c>
      <c r="H27" s="94">
        <v>0</v>
      </c>
      <c r="I27" s="94">
        <f t="shared" si="1"/>
        <v>0</v>
      </c>
      <c r="J27" s="94">
        <f t="shared" si="2"/>
        <v>475</v>
      </c>
      <c r="K27" s="95">
        <f>6+1</f>
        <v>7</v>
      </c>
      <c r="L27" s="96">
        <v>0</v>
      </c>
      <c r="M27" s="97">
        <f t="shared" si="3"/>
        <v>3325</v>
      </c>
      <c r="N27" s="98">
        <v>0.8</v>
      </c>
      <c r="O27" s="99">
        <f t="shared" si="4"/>
        <v>2660</v>
      </c>
      <c r="P27" s="95">
        <f t="shared" si="5"/>
        <v>2660</v>
      </c>
    </row>
    <row r="28" s="81" customFormat="1" ht="30" customHeight="1" spans="1:16">
      <c r="A28" s="91">
        <f t="shared" si="0"/>
        <v>24</v>
      </c>
      <c r="B28" s="92" t="s">
        <v>139</v>
      </c>
      <c r="C28" s="93" t="s">
        <v>147</v>
      </c>
      <c r="D28" s="93" t="s">
        <v>117</v>
      </c>
      <c r="E28" s="93" t="s">
        <v>245</v>
      </c>
      <c r="F28" s="93" t="s">
        <v>246</v>
      </c>
      <c r="G28" s="93">
        <v>430</v>
      </c>
      <c r="H28" s="94">
        <v>9</v>
      </c>
      <c r="I28" s="94">
        <f t="shared" si="1"/>
        <v>3870</v>
      </c>
      <c r="J28" s="94">
        <f t="shared" si="2"/>
        <v>430</v>
      </c>
      <c r="K28" s="95">
        <f>15+2</f>
        <v>17</v>
      </c>
      <c r="L28" s="96">
        <v>0</v>
      </c>
      <c r="M28" s="97">
        <f t="shared" si="3"/>
        <v>7310</v>
      </c>
      <c r="N28" s="98">
        <v>0.35</v>
      </c>
      <c r="O28" s="99">
        <f t="shared" si="4"/>
        <v>2558.5</v>
      </c>
      <c r="P28" s="95">
        <f t="shared" si="5"/>
        <v>6428.5</v>
      </c>
    </row>
    <row r="29" s="81" customFormat="1" ht="30" customHeight="1" spans="1:16">
      <c r="A29" s="91">
        <f t="shared" si="0"/>
        <v>25</v>
      </c>
      <c r="B29" s="92" t="s">
        <v>149</v>
      </c>
      <c r="C29" s="93" t="s">
        <v>23</v>
      </c>
      <c r="D29" s="93" t="s">
        <v>139</v>
      </c>
      <c r="E29" s="93" t="s">
        <v>254</v>
      </c>
      <c r="F29" s="93" t="s">
        <v>246</v>
      </c>
      <c r="G29" s="93">
        <f>714+6</f>
        <v>720</v>
      </c>
      <c r="H29" s="94">
        <f>4+2+1</f>
        <v>7</v>
      </c>
      <c r="I29" s="94">
        <f t="shared" si="1"/>
        <v>5040</v>
      </c>
      <c r="J29" s="94">
        <f t="shared" si="2"/>
        <v>720</v>
      </c>
      <c r="K29" s="95">
        <f>13+1</f>
        <v>14</v>
      </c>
      <c r="L29" s="96">
        <v>0</v>
      </c>
      <c r="M29" s="97">
        <f t="shared" si="3"/>
        <v>10080</v>
      </c>
      <c r="N29" s="98">
        <v>0.4</v>
      </c>
      <c r="O29" s="99">
        <f t="shared" si="4"/>
        <v>4032</v>
      </c>
      <c r="P29" s="95">
        <f t="shared" si="5"/>
        <v>9072</v>
      </c>
    </row>
    <row r="30" s="81" customFormat="1" ht="30" customHeight="1" spans="1:16">
      <c r="A30" s="91">
        <f t="shared" si="0"/>
        <v>26</v>
      </c>
      <c r="B30" s="92" t="s">
        <v>307</v>
      </c>
      <c r="C30" s="93" t="s">
        <v>127</v>
      </c>
      <c r="D30" s="93" t="s">
        <v>308</v>
      </c>
      <c r="E30" s="93" t="s">
        <v>251</v>
      </c>
      <c r="F30" s="93" t="s">
        <v>244</v>
      </c>
      <c r="G30" s="93">
        <v>225</v>
      </c>
      <c r="H30" s="94">
        <v>0</v>
      </c>
      <c r="I30" s="94">
        <f t="shared" si="1"/>
        <v>0</v>
      </c>
      <c r="J30" s="94">
        <f t="shared" si="2"/>
        <v>225</v>
      </c>
      <c r="K30" s="95">
        <v>7</v>
      </c>
      <c r="L30" s="96">
        <v>0</v>
      </c>
      <c r="M30" s="97">
        <f t="shared" si="3"/>
        <v>1575</v>
      </c>
      <c r="N30" s="98">
        <v>0.8</v>
      </c>
      <c r="O30" s="99">
        <f t="shared" si="4"/>
        <v>1260</v>
      </c>
      <c r="P30" s="95">
        <f t="shared" si="5"/>
        <v>1260</v>
      </c>
    </row>
    <row r="31" s="81" customFormat="1" ht="30" customHeight="1" spans="1:16">
      <c r="A31" s="91">
        <f t="shared" si="0"/>
        <v>27</v>
      </c>
      <c r="B31" s="92" t="s">
        <v>127</v>
      </c>
      <c r="C31" s="93" t="s">
        <v>286</v>
      </c>
      <c r="D31" s="93" t="s">
        <v>123</v>
      </c>
      <c r="E31" s="93" t="s">
        <v>243</v>
      </c>
      <c r="F31" s="93" t="s">
        <v>244</v>
      </c>
      <c r="G31" s="93">
        <v>165</v>
      </c>
      <c r="H31" s="94">
        <f>4.5+1.5+1</f>
        <v>7</v>
      </c>
      <c r="I31" s="94">
        <f t="shared" si="1"/>
        <v>1155</v>
      </c>
      <c r="J31" s="94">
        <f t="shared" si="2"/>
        <v>165</v>
      </c>
      <c r="K31" s="95">
        <f>12+2</f>
        <v>14</v>
      </c>
      <c r="L31" s="96">
        <v>0</v>
      </c>
      <c r="M31" s="97">
        <f t="shared" si="3"/>
        <v>2310</v>
      </c>
      <c r="N31" s="98">
        <v>0.4</v>
      </c>
      <c r="O31" s="99">
        <f t="shared" si="4"/>
        <v>924</v>
      </c>
      <c r="P31" s="95">
        <f t="shared" si="5"/>
        <v>2079</v>
      </c>
    </row>
    <row r="32" s="81" customFormat="1" ht="30" customHeight="1" spans="1:16">
      <c r="A32" s="91">
        <f t="shared" si="0"/>
        <v>28</v>
      </c>
      <c r="B32" s="92" t="s">
        <v>309</v>
      </c>
      <c r="C32" s="93" t="s">
        <v>117</v>
      </c>
      <c r="D32" s="93" t="s">
        <v>141</v>
      </c>
      <c r="E32" s="93" t="s">
        <v>251</v>
      </c>
      <c r="F32" s="93" t="s">
        <v>244</v>
      </c>
      <c r="G32" s="93">
        <v>275</v>
      </c>
      <c r="H32" s="94">
        <f>3.5+1.5+1</f>
        <v>6</v>
      </c>
      <c r="I32" s="94">
        <f t="shared" si="1"/>
        <v>1650</v>
      </c>
      <c r="J32" s="94">
        <f t="shared" si="2"/>
        <v>275</v>
      </c>
      <c r="K32" s="95">
        <f>8+1</f>
        <v>9</v>
      </c>
      <c r="L32" s="96">
        <v>0</v>
      </c>
      <c r="M32" s="97">
        <f t="shared" si="3"/>
        <v>2475</v>
      </c>
      <c r="N32" s="98">
        <v>0.6</v>
      </c>
      <c r="O32" s="99">
        <f t="shared" si="4"/>
        <v>1485</v>
      </c>
      <c r="P32" s="95">
        <f t="shared" si="5"/>
        <v>3135</v>
      </c>
    </row>
    <row r="33" s="81" customFormat="1" ht="30" customHeight="1" spans="1:16">
      <c r="A33" s="91">
        <f t="shared" si="0"/>
        <v>29</v>
      </c>
      <c r="B33" s="92" t="s">
        <v>310</v>
      </c>
      <c r="C33" s="93" t="s">
        <v>149</v>
      </c>
      <c r="D33" s="93" t="s">
        <v>147</v>
      </c>
      <c r="E33" s="93" t="s">
        <v>251</v>
      </c>
      <c r="F33" s="93" t="s">
        <v>244</v>
      </c>
      <c r="G33" s="93">
        <v>105</v>
      </c>
      <c r="H33" s="94">
        <v>0</v>
      </c>
      <c r="I33" s="94">
        <f t="shared" si="1"/>
        <v>0</v>
      </c>
      <c r="J33" s="94">
        <f t="shared" si="2"/>
        <v>105</v>
      </c>
      <c r="K33" s="95">
        <f>6.5+0.5</f>
        <v>7</v>
      </c>
      <c r="L33" s="96">
        <v>0</v>
      </c>
      <c r="M33" s="97">
        <f t="shared" si="3"/>
        <v>735</v>
      </c>
      <c r="N33" s="98">
        <v>0.8</v>
      </c>
      <c r="O33" s="99">
        <f t="shared" si="4"/>
        <v>588</v>
      </c>
      <c r="P33" s="95">
        <f t="shared" si="5"/>
        <v>588</v>
      </c>
    </row>
    <row r="34" s="81" customFormat="1" ht="30" customHeight="1" spans="1:16">
      <c r="A34" s="91">
        <f t="shared" si="0"/>
        <v>30</v>
      </c>
      <c r="B34" s="92" t="s">
        <v>23</v>
      </c>
      <c r="C34" s="93" t="s">
        <v>267</v>
      </c>
      <c r="D34" s="93" t="s">
        <v>75</v>
      </c>
      <c r="E34" s="93" t="s">
        <v>254</v>
      </c>
      <c r="F34" s="93" t="s">
        <v>246</v>
      </c>
      <c r="G34" s="93">
        <v>1900</v>
      </c>
      <c r="H34" s="94">
        <f>5.4/2</f>
        <v>2.7</v>
      </c>
      <c r="I34" s="94">
        <f t="shared" si="1"/>
        <v>5130</v>
      </c>
      <c r="J34" s="94">
        <v>1900</v>
      </c>
      <c r="K34" s="95">
        <f>20/2</f>
        <v>10</v>
      </c>
      <c r="L34" s="96">
        <f>5/2</f>
        <v>2.5</v>
      </c>
      <c r="M34" s="97">
        <f t="shared" si="3"/>
        <v>23750</v>
      </c>
      <c r="N34" s="98">
        <v>0.4</v>
      </c>
      <c r="O34" s="99">
        <f t="shared" si="4"/>
        <v>9500</v>
      </c>
      <c r="P34" s="95">
        <f t="shared" si="5"/>
        <v>14630</v>
      </c>
    </row>
    <row r="35" s="81" customFormat="1" ht="30" customHeight="1" spans="1:16">
      <c r="A35" s="91">
        <f t="shared" si="0"/>
        <v>31</v>
      </c>
      <c r="B35" s="92" t="s">
        <v>75</v>
      </c>
      <c r="C35" s="93" t="s">
        <v>286</v>
      </c>
      <c r="D35" s="93" t="s">
        <v>23</v>
      </c>
      <c r="E35" s="93" t="s">
        <v>245</v>
      </c>
      <c r="F35" s="93" t="s">
        <v>270</v>
      </c>
      <c r="G35" s="93">
        <v>1600</v>
      </c>
      <c r="H35" s="94">
        <f>3.5*2</f>
        <v>7</v>
      </c>
      <c r="I35" s="94">
        <f t="shared" si="1"/>
        <v>11200</v>
      </c>
      <c r="J35" s="94">
        <v>1600</v>
      </c>
      <c r="K35" s="95">
        <f>3.5*2</f>
        <v>7</v>
      </c>
      <c r="L35" s="96">
        <f>2*2</f>
        <v>4</v>
      </c>
      <c r="M35" s="97">
        <f t="shared" si="3"/>
        <v>17600</v>
      </c>
      <c r="N35" s="98">
        <v>0.5</v>
      </c>
      <c r="O35" s="99">
        <f t="shared" si="4"/>
        <v>8800</v>
      </c>
      <c r="P35" s="95">
        <f t="shared" si="5"/>
        <v>20000</v>
      </c>
    </row>
    <row r="36" s="81" customFormat="1" ht="30" customHeight="1" spans="1:16">
      <c r="A36" s="91">
        <f t="shared" si="0"/>
        <v>32</v>
      </c>
      <c r="B36" s="92" t="s">
        <v>11</v>
      </c>
      <c r="C36" s="93" t="s">
        <v>21</v>
      </c>
      <c r="D36" s="93" t="s">
        <v>75</v>
      </c>
      <c r="E36" s="93" t="str">
        <f>VLOOKUP(B36,'[1]Sheet1 (2)'!$B$65:$E$81,4,0)</f>
        <v>市政</v>
      </c>
      <c r="F36" s="93" t="s">
        <v>246</v>
      </c>
      <c r="G36" s="93">
        <v>526</v>
      </c>
      <c r="H36" s="94">
        <v>8</v>
      </c>
      <c r="I36" s="94">
        <f t="shared" si="1"/>
        <v>4208</v>
      </c>
      <c r="J36" s="94">
        <f t="shared" ref="J36:J50" si="6">G36</f>
        <v>526</v>
      </c>
      <c r="K36" s="95">
        <v>5.5</v>
      </c>
      <c r="L36" s="96">
        <v>5.5</v>
      </c>
      <c r="M36" s="97">
        <f t="shared" si="3"/>
        <v>5786</v>
      </c>
      <c r="N36" s="98">
        <v>0.5</v>
      </c>
      <c r="O36" s="99">
        <f t="shared" si="4"/>
        <v>2893</v>
      </c>
      <c r="P36" s="95">
        <f t="shared" si="5"/>
        <v>7101</v>
      </c>
    </row>
    <row r="37" s="81" customFormat="1" ht="30" customHeight="1" spans="1:16">
      <c r="A37" s="91">
        <f t="shared" si="0"/>
        <v>33</v>
      </c>
      <c r="B37" s="92" t="s">
        <v>120</v>
      </c>
      <c r="C37" s="93" t="s">
        <v>21</v>
      </c>
      <c r="D37" s="93" t="s">
        <v>75</v>
      </c>
      <c r="E37" s="93" t="str">
        <f>VLOOKUP(B37,'[1]Sheet1 (2)'!$B$65:$E$81,4,0)</f>
        <v>市政</v>
      </c>
      <c r="F37" s="93" t="s">
        <v>246</v>
      </c>
      <c r="G37" s="93">
        <v>877</v>
      </c>
      <c r="H37" s="94">
        <v>5.6</v>
      </c>
      <c r="I37" s="94">
        <f t="shared" si="1"/>
        <v>4911.2</v>
      </c>
      <c r="J37" s="94">
        <f t="shared" si="6"/>
        <v>877</v>
      </c>
      <c r="K37" s="95">
        <v>8.4</v>
      </c>
      <c r="L37" s="96">
        <v>0</v>
      </c>
      <c r="M37" s="97">
        <f t="shared" si="3"/>
        <v>7366.8</v>
      </c>
      <c r="N37" s="98">
        <v>0.6</v>
      </c>
      <c r="O37" s="99">
        <f t="shared" si="4"/>
        <v>4420.08</v>
      </c>
      <c r="P37" s="95">
        <f t="shared" si="5"/>
        <v>9331.28</v>
      </c>
    </row>
    <row r="38" s="81" customFormat="1" ht="30" customHeight="1" spans="1:16">
      <c r="A38" s="91">
        <f t="shared" si="0"/>
        <v>34</v>
      </c>
      <c r="B38" s="92" t="s">
        <v>27</v>
      </c>
      <c r="C38" s="93" t="s">
        <v>75</v>
      </c>
      <c r="D38" s="93" t="s">
        <v>258</v>
      </c>
      <c r="E38" s="93" t="str">
        <f>VLOOKUP(B38,'[1]Sheet1 (2)'!$B$65:$E$81,4,0)</f>
        <v>市政</v>
      </c>
      <c r="F38" s="93" t="s">
        <v>246</v>
      </c>
      <c r="G38" s="93">
        <v>1500</v>
      </c>
      <c r="H38" s="94">
        <v>12</v>
      </c>
      <c r="I38" s="94">
        <f t="shared" si="1"/>
        <v>18000</v>
      </c>
      <c r="J38" s="94">
        <f t="shared" si="6"/>
        <v>1500</v>
      </c>
      <c r="K38" s="95">
        <f>17.5+2</f>
        <v>19.5</v>
      </c>
      <c r="L38" s="96">
        <f>7+2</f>
        <v>9</v>
      </c>
      <c r="M38" s="97">
        <f t="shared" si="3"/>
        <v>42750</v>
      </c>
      <c r="N38" s="98">
        <v>0.25</v>
      </c>
      <c r="O38" s="99">
        <f t="shared" si="4"/>
        <v>10687.5</v>
      </c>
      <c r="P38" s="95">
        <f t="shared" si="5"/>
        <v>28687.5</v>
      </c>
    </row>
    <row r="39" s="81" customFormat="1" ht="30" customHeight="1" spans="1:16">
      <c r="A39" s="91">
        <f t="shared" si="0"/>
        <v>35</v>
      </c>
      <c r="B39" s="92" t="s">
        <v>311</v>
      </c>
      <c r="C39" s="93" t="s">
        <v>123</v>
      </c>
      <c r="D39" s="93" t="s">
        <v>312</v>
      </c>
      <c r="E39" s="93" t="str">
        <f>VLOOKUP(B39,'[1]Sheet1 (2)'!$B$65:$E$81,4,0)</f>
        <v>背街小巷</v>
      </c>
      <c r="F39" s="93" t="s">
        <v>244</v>
      </c>
      <c r="G39" s="93">
        <v>188</v>
      </c>
      <c r="H39" s="94">
        <v>0</v>
      </c>
      <c r="I39" s="94">
        <f t="shared" si="1"/>
        <v>0</v>
      </c>
      <c r="J39" s="94">
        <f t="shared" si="6"/>
        <v>188</v>
      </c>
      <c r="K39" s="95">
        <v>7</v>
      </c>
      <c r="L39" s="96">
        <v>0</v>
      </c>
      <c r="M39" s="97">
        <f t="shared" si="3"/>
        <v>1316</v>
      </c>
      <c r="N39" s="98">
        <v>0.8</v>
      </c>
      <c r="O39" s="99">
        <f t="shared" si="4"/>
        <v>1052.8</v>
      </c>
      <c r="P39" s="95">
        <f t="shared" si="5"/>
        <v>1052.8</v>
      </c>
    </row>
    <row r="40" s="81" customFormat="1" ht="30" customHeight="1" spans="1:16">
      <c r="A40" s="91">
        <f t="shared" si="0"/>
        <v>36</v>
      </c>
      <c r="B40" s="92" t="s">
        <v>313</v>
      </c>
      <c r="C40" s="93" t="s">
        <v>145</v>
      </c>
      <c r="D40" s="93" t="s">
        <v>11</v>
      </c>
      <c r="E40" s="93" t="str">
        <f>VLOOKUP(B40,'[1]Sheet1 (2)'!$B$65:$E$81,4,0)</f>
        <v>背街小巷</v>
      </c>
      <c r="F40" s="93" t="s">
        <v>244</v>
      </c>
      <c r="G40" s="93">
        <v>238</v>
      </c>
      <c r="H40" s="94">
        <v>12</v>
      </c>
      <c r="I40" s="94">
        <f t="shared" si="1"/>
        <v>2856</v>
      </c>
      <c r="J40" s="94">
        <f t="shared" si="6"/>
        <v>238</v>
      </c>
      <c r="K40" s="95">
        <v>0</v>
      </c>
      <c r="L40" s="96">
        <v>0</v>
      </c>
      <c r="M40" s="97">
        <f t="shared" si="3"/>
        <v>0</v>
      </c>
      <c r="N40" s="98">
        <v>0</v>
      </c>
      <c r="O40" s="99">
        <f t="shared" si="4"/>
        <v>0</v>
      </c>
      <c r="P40" s="95">
        <f t="shared" si="5"/>
        <v>2856</v>
      </c>
    </row>
    <row r="41" s="81" customFormat="1" ht="30" customHeight="1" spans="1:16">
      <c r="A41" s="91">
        <f t="shared" si="0"/>
        <v>37</v>
      </c>
      <c r="B41" s="92" t="s">
        <v>314</v>
      </c>
      <c r="C41" s="93" t="s">
        <v>127</v>
      </c>
      <c r="D41" s="93" t="s">
        <v>315</v>
      </c>
      <c r="E41" s="93" t="str">
        <f>VLOOKUP(B41,'[1]Sheet1 (2)'!$B$65:$E$81,4,0)</f>
        <v>背街小巷</v>
      </c>
      <c r="F41" s="93" t="s">
        <v>244</v>
      </c>
      <c r="G41" s="93">
        <v>97</v>
      </c>
      <c r="H41" s="94">
        <v>7.4</v>
      </c>
      <c r="I41" s="94">
        <f t="shared" si="1"/>
        <v>717.8</v>
      </c>
      <c r="J41" s="94">
        <f t="shared" si="6"/>
        <v>97</v>
      </c>
      <c r="K41" s="95">
        <v>0</v>
      </c>
      <c r="L41" s="96">
        <v>0</v>
      </c>
      <c r="M41" s="97">
        <f t="shared" si="3"/>
        <v>0</v>
      </c>
      <c r="N41" s="98">
        <v>0</v>
      </c>
      <c r="O41" s="99">
        <f t="shared" si="4"/>
        <v>0</v>
      </c>
      <c r="P41" s="95">
        <f t="shared" si="5"/>
        <v>717.8</v>
      </c>
    </row>
    <row r="42" s="81" customFormat="1" ht="30" customHeight="1" spans="1:16">
      <c r="A42" s="91">
        <f t="shared" si="0"/>
        <v>38</v>
      </c>
      <c r="B42" s="92" t="s">
        <v>67</v>
      </c>
      <c r="C42" s="93" t="s">
        <v>23</v>
      </c>
      <c r="D42" s="93" t="s">
        <v>27</v>
      </c>
      <c r="E42" s="93" t="str">
        <f>VLOOKUP(B42,'[1]Sheet1 (2)'!$B$65:$E$81,4,0)</f>
        <v>市政</v>
      </c>
      <c r="F42" s="93" t="s">
        <v>246</v>
      </c>
      <c r="G42" s="93">
        <v>362</v>
      </c>
      <c r="H42" s="94">
        <v>5.6</v>
      </c>
      <c r="I42" s="94">
        <f t="shared" si="1"/>
        <v>2027.2</v>
      </c>
      <c r="J42" s="94">
        <f t="shared" si="6"/>
        <v>362</v>
      </c>
      <c r="K42" s="95">
        <f>10.2+1.2</f>
        <v>11.4</v>
      </c>
      <c r="L42" s="96">
        <f>4.2+1.2</f>
        <v>5.4</v>
      </c>
      <c r="M42" s="97">
        <f t="shared" si="3"/>
        <v>6081.6</v>
      </c>
      <c r="N42" s="98">
        <v>0.35</v>
      </c>
      <c r="O42" s="99">
        <f t="shared" si="4"/>
        <v>2128.56</v>
      </c>
      <c r="P42" s="95">
        <f t="shared" si="5"/>
        <v>4155.76</v>
      </c>
    </row>
    <row r="43" s="81" customFormat="1" ht="30" customHeight="1" spans="1:16">
      <c r="A43" s="91">
        <f t="shared" si="0"/>
        <v>39</v>
      </c>
      <c r="B43" s="92" t="s">
        <v>69</v>
      </c>
      <c r="C43" s="93" t="s">
        <v>23</v>
      </c>
      <c r="D43" s="93" t="s">
        <v>27</v>
      </c>
      <c r="E43" s="93" t="s">
        <v>243</v>
      </c>
      <c r="F43" s="93" t="s">
        <v>246</v>
      </c>
      <c r="G43" s="93">
        <f>416</f>
        <v>416</v>
      </c>
      <c r="H43" s="94">
        <f>4.4+1+1</f>
        <v>6.4</v>
      </c>
      <c r="I43" s="94">
        <f t="shared" si="1"/>
        <v>2662.4</v>
      </c>
      <c r="J43" s="94">
        <f t="shared" si="6"/>
        <v>416</v>
      </c>
      <c r="K43" s="95">
        <f>9</f>
        <v>9</v>
      </c>
      <c r="L43" s="96">
        <v>0</v>
      </c>
      <c r="M43" s="97">
        <f t="shared" si="3"/>
        <v>3744</v>
      </c>
      <c r="N43" s="98">
        <v>0.6</v>
      </c>
      <c r="O43" s="99">
        <f t="shared" si="4"/>
        <v>2246.4</v>
      </c>
      <c r="P43" s="95">
        <f t="shared" si="5"/>
        <v>4908.8</v>
      </c>
    </row>
    <row r="44" s="81" customFormat="1" ht="30" customHeight="1" spans="1:16">
      <c r="A44" s="91">
        <f t="shared" si="0"/>
        <v>40</v>
      </c>
      <c r="B44" s="92" t="s">
        <v>123</v>
      </c>
      <c r="C44" s="93" t="s">
        <v>23</v>
      </c>
      <c r="D44" s="93" t="s">
        <v>286</v>
      </c>
      <c r="E44" s="93" t="s">
        <v>243</v>
      </c>
      <c r="F44" s="93" t="s">
        <v>246</v>
      </c>
      <c r="G44" s="93">
        <v>1600</v>
      </c>
      <c r="H44" s="94">
        <f>3.4+4+1+0.2</f>
        <v>8.6</v>
      </c>
      <c r="I44" s="94">
        <f t="shared" si="1"/>
        <v>13760</v>
      </c>
      <c r="J44" s="94">
        <f t="shared" si="6"/>
        <v>1600</v>
      </c>
      <c r="K44" s="95">
        <f>10.4+0.6</f>
        <v>11</v>
      </c>
      <c r="L44" s="96">
        <v>0</v>
      </c>
      <c r="M44" s="97">
        <f t="shared" si="3"/>
        <v>17600</v>
      </c>
      <c r="N44" s="98">
        <v>0.5</v>
      </c>
      <c r="O44" s="99">
        <f t="shared" si="4"/>
        <v>8800</v>
      </c>
      <c r="P44" s="95">
        <f t="shared" si="5"/>
        <v>22560</v>
      </c>
    </row>
    <row r="45" s="81" customFormat="1" ht="30" customHeight="1" spans="1:16">
      <c r="A45" s="91">
        <f t="shared" si="0"/>
        <v>41</v>
      </c>
      <c r="B45" s="92" t="s">
        <v>316</v>
      </c>
      <c r="C45" s="93" t="s">
        <v>120</v>
      </c>
      <c r="D45" s="93" t="s">
        <v>286</v>
      </c>
      <c r="E45" s="93" t="str">
        <f>VLOOKUP(B45,'[1]Sheet1 (2)'!$B$65:$E$81,4,0)</f>
        <v>背街小巷</v>
      </c>
      <c r="F45" s="93" t="s">
        <v>244</v>
      </c>
      <c r="G45" s="93">
        <v>457</v>
      </c>
      <c r="H45" s="94">
        <v>5.2</v>
      </c>
      <c r="I45" s="94">
        <f t="shared" si="1"/>
        <v>2376.4</v>
      </c>
      <c r="J45" s="94">
        <f t="shared" si="6"/>
        <v>457</v>
      </c>
      <c r="K45" s="95">
        <v>0</v>
      </c>
      <c r="L45" s="96">
        <v>0</v>
      </c>
      <c r="M45" s="97">
        <f t="shared" si="3"/>
        <v>0</v>
      </c>
      <c r="N45" s="98">
        <v>0</v>
      </c>
      <c r="O45" s="99">
        <f t="shared" si="4"/>
        <v>0</v>
      </c>
      <c r="P45" s="95">
        <f t="shared" si="5"/>
        <v>2376.4</v>
      </c>
    </row>
    <row r="46" s="81" customFormat="1" ht="30" customHeight="1" spans="1:16">
      <c r="A46" s="91">
        <f t="shared" si="0"/>
        <v>42</v>
      </c>
      <c r="B46" s="92" t="s">
        <v>143</v>
      </c>
      <c r="C46" s="93" t="s">
        <v>75</v>
      </c>
      <c r="D46" s="93" t="s">
        <v>123</v>
      </c>
      <c r="E46" s="93" t="str">
        <f>VLOOKUP(B46,'[1]Sheet1 (2)'!$B$65:$E$81,4,0)</f>
        <v>镇级</v>
      </c>
      <c r="F46" s="93" t="s">
        <v>246</v>
      </c>
      <c r="G46" s="93">
        <v>460</v>
      </c>
      <c r="H46" s="94">
        <v>4.7</v>
      </c>
      <c r="I46" s="94">
        <f t="shared" si="1"/>
        <v>2162</v>
      </c>
      <c r="J46" s="94">
        <f t="shared" si="6"/>
        <v>460</v>
      </c>
      <c r="K46" s="95">
        <v>7</v>
      </c>
      <c r="L46" s="96">
        <v>0</v>
      </c>
      <c r="M46" s="97">
        <f t="shared" si="3"/>
        <v>3220</v>
      </c>
      <c r="N46" s="98">
        <v>0.8</v>
      </c>
      <c r="O46" s="99">
        <f t="shared" si="4"/>
        <v>2576</v>
      </c>
      <c r="P46" s="95">
        <f t="shared" si="5"/>
        <v>4738</v>
      </c>
    </row>
    <row r="47" s="81" customFormat="1" ht="30" customHeight="1" spans="1:16">
      <c r="A47" s="91">
        <f t="shared" si="0"/>
        <v>43</v>
      </c>
      <c r="B47" s="92" t="s">
        <v>125</v>
      </c>
      <c r="C47" s="93" t="s">
        <v>75</v>
      </c>
      <c r="D47" s="93" t="s">
        <v>123</v>
      </c>
      <c r="E47" s="93" t="str">
        <f>VLOOKUP(B47,'[1]Sheet1 (2)'!$B$65:$E$81,4,0)</f>
        <v>镇级</v>
      </c>
      <c r="F47" s="93" t="s">
        <v>246</v>
      </c>
      <c r="G47" s="93">
        <v>320</v>
      </c>
      <c r="H47" s="94">
        <v>0</v>
      </c>
      <c r="I47" s="94">
        <f t="shared" si="1"/>
        <v>0</v>
      </c>
      <c r="J47" s="94">
        <f t="shared" si="6"/>
        <v>320</v>
      </c>
      <c r="K47" s="95">
        <v>7</v>
      </c>
      <c r="L47" s="96">
        <v>0</v>
      </c>
      <c r="M47" s="97">
        <f t="shared" si="3"/>
        <v>2240</v>
      </c>
      <c r="N47" s="98">
        <v>0.8</v>
      </c>
      <c r="O47" s="99">
        <f t="shared" si="4"/>
        <v>1792</v>
      </c>
      <c r="P47" s="95">
        <f t="shared" si="5"/>
        <v>1792</v>
      </c>
    </row>
    <row r="48" s="81" customFormat="1" ht="30" customHeight="1" spans="1:16">
      <c r="A48" s="91">
        <f t="shared" si="0"/>
        <v>44</v>
      </c>
      <c r="B48" s="92" t="s">
        <v>317</v>
      </c>
      <c r="C48" s="93" t="s">
        <v>21</v>
      </c>
      <c r="D48" s="93" t="s">
        <v>318</v>
      </c>
      <c r="E48" s="93" t="str">
        <f>VLOOKUP(B48,'[1]Sheet1 (2)'!$B$65:$E$81,4,0)</f>
        <v>背街小巷</v>
      </c>
      <c r="F48" s="93" t="s">
        <v>244</v>
      </c>
      <c r="G48" s="93">
        <v>115</v>
      </c>
      <c r="H48" s="94">
        <v>6.2</v>
      </c>
      <c r="I48" s="94">
        <f t="shared" si="1"/>
        <v>713</v>
      </c>
      <c r="J48" s="94">
        <f t="shared" si="6"/>
        <v>115</v>
      </c>
      <c r="K48" s="95">
        <v>7</v>
      </c>
      <c r="L48" s="96">
        <v>0</v>
      </c>
      <c r="M48" s="97">
        <f t="shared" si="3"/>
        <v>805</v>
      </c>
      <c r="N48" s="98">
        <v>0.8</v>
      </c>
      <c r="O48" s="99">
        <f t="shared" si="4"/>
        <v>644</v>
      </c>
      <c r="P48" s="95">
        <f t="shared" si="5"/>
        <v>1357</v>
      </c>
    </row>
    <row r="49" s="81" customFormat="1" ht="30" customHeight="1" spans="1:16">
      <c r="A49" s="91">
        <f t="shared" si="0"/>
        <v>45</v>
      </c>
      <c r="B49" s="92" t="s">
        <v>145</v>
      </c>
      <c r="C49" s="93" t="s">
        <v>21</v>
      </c>
      <c r="D49" s="93" t="s">
        <v>123</v>
      </c>
      <c r="E49" s="93" t="s">
        <v>243</v>
      </c>
      <c r="F49" s="93" t="s">
        <v>246</v>
      </c>
      <c r="G49" s="93">
        <v>706</v>
      </c>
      <c r="H49" s="94">
        <v>4</v>
      </c>
      <c r="I49" s="94">
        <f t="shared" si="1"/>
        <v>2824</v>
      </c>
      <c r="J49" s="94">
        <f t="shared" si="6"/>
        <v>706</v>
      </c>
      <c r="K49" s="95">
        <v>8.4</v>
      </c>
      <c r="L49" s="96">
        <v>0</v>
      </c>
      <c r="M49" s="97">
        <f t="shared" si="3"/>
        <v>5930.4</v>
      </c>
      <c r="N49" s="98">
        <v>0.6</v>
      </c>
      <c r="O49" s="99">
        <f t="shared" si="4"/>
        <v>3558.24</v>
      </c>
      <c r="P49" s="95">
        <f t="shared" si="5"/>
        <v>6382.24</v>
      </c>
    </row>
    <row r="50" s="81" customFormat="1" ht="30" customHeight="1" spans="1:16">
      <c r="A50" s="91">
        <f t="shared" si="0"/>
        <v>46</v>
      </c>
      <c r="B50" s="92" t="s">
        <v>11</v>
      </c>
      <c r="C50" s="93" t="s">
        <v>319</v>
      </c>
      <c r="D50" s="93" t="s">
        <v>75</v>
      </c>
      <c r="E50" s="93" t="str">
        <f>VLOOKUP(B50,'[1]Sheet1 (2)'!$B$65:$E$81,4,0)</f>
        <v>市政</v>
      </c>
      <c r="F50" s="93" t="s">
        <v>246</v>
      </c>
      <c r="G50" s="93">
        <v>1000</v>
      </c>
      <c r="H50" s="94">
        <v>5.7</v>
      </c>
      <c r="I50" s="94">
        <f t="shared" si="1"/>
        <v>5700</v>
      </c>
      <c r="J50" s="94">
        <f t="shared" si="6"/>
        <v>1000</v>
      </c>
      <c r="K50" s="95">
        <v>17.5</v>
      </c>
      <c r="L50" s="96">
        <v>0</v>
      </c>
      <c r="M50" s="97">
        <f t="shared" si="3"/>
        <v>17500</v>
      </c>
      <c r="N50" s="98">
        <v>0.3</v>
      </c>
      <c r="O50" s="99">
        <f t="shared" si="4"/>
        <v>5250</v>
      </c>
      <c r="P50" s="95">
        <f t="shared" si="5"/>
        <v>10950</v>
      </c>
    </row>
    <row r="51" s="82" customFormat="1" ht="30" customHeight="1" spans="1:16">
      <c r="A51" s="100"/>
      <c r="B51" s="101" t="s">
        <v>29</v>
      </c>
      <c r="C51" s="102"/>
      <c r="D51" s="102"/>
      <c r="E51" s="102"/>
      <c r="F51" s="102"/>
      <c r="G51" s="102"/>
      <c r="H51" s="103"/>
      <c r="I51" s="104">
        <f>SUM(I5:I50)</f>
        <v>193479</v>
      </c>
      <c r="J51" s="103"/>
      <c r="K51" s="105"/>
      <c r="L51" s="106"/>
      <c r="M51" s="104">
        <f t="shared" ref="M51:P51" si="7">SUM(M5:M50)</f>
        <v>333169.6</v>
      </c>
      <c r="N51" s="107"/>
      <c r="O51" s="104">
        <f t="shared" si="7"/>
        <v>144865.8</v>
      </c>
      <c r="P51" s="104">
        <f t="shared" si="7"/>
        <v>338344.8</v>
      </c>
    </row>
  </sheetData>
  <autoFilter xmlns:etc="http://www.wps.cn/officeDocument/2017/etCustomData" ref="A4:AA51" etc:filterBottomFollowUsedRange="0">
    <extLst/>
  </autoFilter>
  <mergeCells count="16"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A1:P2"/>
  </mergeCells>
  <pageMargins left="0.393055555555556" right="0.393055555555556" top="0.314583333333333" bottom="0.393055555555556" header="0.298611111111111" footer="0.298611111111111"/>
  <pageSetup paperSize="9" scale="4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9"/>
  <sheetViews>
    <sheetView zoomScale="70" zoomScaleNormal="70" zoomScaleSheetLayoutView="50" topLeftCell="H14" workbookViewId="0">
      <selection activeCell="M22" sqref="M22"/>
    </sheetView>
  </sheetViews>
  <sheetFormatPr defaultColWidth="9" defaultRowHeight="14.25"/>
  <cols>
    <col min="1" max="1" width="5.75" style="4" customWidth="1"/>
    <col min="2" max="2" width="9" style="4"/>
    <col min="3" max="3" width="15.125" style="5" customWidth="1"/>
    <col min="4" max="4" width="10.75" style="5" customWidth="1"/>
    <col min="5" max="5" width="9.25" style="5" customWidth="1"/>
    <col min="6" max="6" width="13.875" style="5" customWidth="1"/>
    <col min="7" max="7" width="15.875" style="5" customWidth="1"/>
    <col min="8" max="8" width="14.5" style="5" customWidth="1"/>
    <col min="9" max="9" width="14.25" style="5" customWidth="1"/>
    <col min="10" max="10" width="13.75" style="5" customWidth="1"/>
    <col min="11" max="11" width="13.375" style="5" customWidth="1"/>
    <col min="12" max="12" width="14.875" style="5" customWidth="1"/>
    <col min="13" max="13" width="15.625" style="5" customWidth="1"/>
    <col min="14" max="14" width="16" style="5" customWidth="1"/>
    <col min="15" max="15" width="12.75" style="5" customWidth="1"/>
    <col min="16" max="17" width="13.5" style="5" customWidth="1"/>
    <col min="18" max="18" width="14.5" style="5" customWidth="1"/>
    <col min="19" max="24" width="13.5" style="5" customWidth="1"/>
    <col min="25" max="25" width="17.875" style="5" customWidth="1"/>
    <col min="26" max="26" width="13.5" style="5" customWidth="1"/>
    <col min="27" max="27" width="11.125" style="5" customWidth="1"/>
    <col min="28" max="29" width="17.875" style="5" customWidth="1"/>
    <col min="30" max="30" width="27.375" style="5" customWidth="1"/>
    <col min="31" max="32" width="9" style="4"/>
    <col min="33" max="33" width="12" style="4" customWidth="1"/>
    <col min="34" max="16384" width="9" style="4"/>
  </cols>
  <sheetData>
    <row r="1" ht="23.25" customHeight="1" spans="1:30">
      <c r="A1" s="6" t="s">
        <v>1</v>
      </c>
      <c r="B1" s="7" t="s">
        <v>320</v>
      </c>
      <c r="C1" s="8" t="s">
        <v>321</v>
      </c>
      <c r="D1" s="8"/>
      <c r="E1" s="8" t="s">
        <v>322</v>
      </c>
      <c r="F1" s="9" t="s">
        <v>120</v>
      </c>
      <c r="G1" s="9" t="s">
        <v>145</v>
      </c>
      <c r="H1" s="10" t="s">
        <v>11</v>
      </c>
      <c r="I1" s="9" t="s">
        <v>125</v>
      </c>
      <c r="J1" s="9" t="s">
        <v>143</v>
      </c>
      <c r="K1" s="10" t="s">
        <v>27</v>
      </c>
      <c r="L1" s="10" t="s">
        <v>123</v>
      </c>
      <c r="M1" s="10" t="s">
        <v>152</v>
      </c>
      <c r="N1" s="71" t="s">
        <v>127</v>
      </c>
      <c r="O1" s="71" t="s">
        <v>141</v>
      </c>
      <c r="P1" s="71" t="s">
        <v>139</v>
      </c>
      <c r="Q1" s="71" t="s">
        <v>293</v>
      </c>
      <c r="R1" s="71" t="s">
        <v>117</v>
      </c>
      <c r="S1" s="71" t="s">
        <v>201</v>
      </c>
      <c r="T1" s="71" t="s">
        <v>129</v>
      </c>
      <c r="U1" s="10" t="s">
        <v>131</v>
      </c>
      <c r="V1" s="72" t="s">
        <v>137</v>
      </c>
      <c r="W1" s="72" t="s">
        <v>135</v>
      </c>
      <c r="X1" s="72" t="s">
        <v>133</v>
      </c>
      <c r="Y1" s="72" t="s">
        <v>323</v>
      </c>
      <c r="Z1" s="12" t="s">
        <v>324</v>
      </c>
      <c r="AA1" s="13" t="s">
        <v>325</v>
      </c>
      <c r="AB1" s="13" t="s">
        <v>326</v>
      </c>
      <c r="AC1" s="13" t="s">
        <v>327</v>
      </c>
      <c r="AD1" s="14" t="s">
        <v>35</v>
      </c>
    </row>
    <row r="2" s="1" customFormat="1" ht="30" customHeight="1" spans="1:30">
      <c r="A2" s="15"/>
      <c r="B2" s="16"/>
      <c r="C2" s="17" t="s">
        <v>328</v>
      </c>
      <c r="D2" s="17"/>
      <c r="E2" s="17"/>
      <c r="F2" s="18" t="s">
        <v>329</v>
      </c>
      <c r="G2" s="18" t="s">
        <v>330</v>
      </c>
      <c r="H2" s="73" t="s">
        <v>331</v>
      </c>
      <c r="I2" s="73" t="s">
        <v>332</v>
      </c>
      <c r="J2" s="73" t="s">
        <v>332</v>
      </c>
      <c r="K2" s="73" t="s">
        <v>333</v>
      </c>
      <c r="L2" s="73" t="s">
        <v>334</v>
      </c>
      <c r="M2" s="73" t="s">
        <v>335</v>
      </c>
      <c r="N2" s="74" t="s">
        <v>336</v>
      </c>
      <c r="O2" s="73" t="s">
        <v>337</v>
      </c>
      <c r="P2" s="74" t="s">
        <v>338</v>
      </c>
      <c r="Q2" s="73" t="s">
        <v>339</v>
      </c>
      <c r="R2" s="73" t="s">
        <v>340</v>
      </c>
      <c r="S2" s="67" t="s">
        <v>341</v>
      </c>
      <c r="T2" s="75" t="s">
        <v>342</v>
      </c>
      <c r="U2" s="75" t="s">
        <v>343</v>
      </c>
      <c r="V2" s="75" t="s">
        <v>344</v>
      </c>
      <c r="W2" s="76" t="s">
        <v>345</v>
      </c>
      <c r="X2" s="75" t="s">
        <v>346</v>
      </c>
      <c r="Y2" s="75" t="s">
        <v>347</v>
      </c>
      <c r="Z2" s="20"/>
      <c r="AA2" s="21"/>
      <c r="AB2" s="21"/>
      <c r="AC2" s="21"/>
      <c r="AD2" s="22"/>
    </row>
    <row r="3" s="1" customFormat="1" ht="18" customHeight="1" spans="1:30">
      <c r="A3" s="23"/>
      <c r="B3" s="24"/>
      <c r="C3" s="25" t="s">
        <v>348</v>
      </c>
      <c r="D3" s="25"/>
      <c r="E3" s="25"/>
      <c r="F3" s="26">
        <v>1274</v>
      </c>
      <c r="G3" s="26">
        <v>670</v>
      </c>
      <c r="H3" s="26">
        <v>1185</v>
      </c>
      <c r="I3" s="26">
        <v>350</v>
      </c>
      <c r="J3" s="26">
        <v>370</v>
      </c>
      <c r="K3" s="26">
        <v>1500</v>
      </c>
      <c r="L3" s="68">
        <v>1610</v>
      </c>
      <c r="M3" s="69">
        <v>419</v>
      </c>
      <c r="N3" s="69">
        <v>711</v>
      </c>
      <c r="O3" s="69">
        <v>1571</v>
      </c>
      <c r="P3" s="69">
        <v>1214</v>
      </c>
      <c r="Q3" s="69">
        <v>600</v>
      </c>
      <c r="R3" s="69">
        <v>1459</v>
      </c>
      <c r="S3" s="69">
        <v>468</v>
      </c>
      <c r="T3" s="77">
        <v>1360</v>
      </c>
      <c r="U3" s="77">
        <v>400</v>
      </c>
      <c r="V3" s="77">
        <v>476</v>
      </c>
      <c r="W3" s="77">
        <v>660</v>
      </c>
      <c r="X3" s="77">
        <v>1060</v>
      </c>
      <c r="Y3" s="77">
        <v>200</v>
      </c>
      <c r="Z3" s="27">
        <f>IF(SUM(F3:Y3)=0,"",SUM(F3:Y3))</f>
        <v>17557</v>
      </c>
      <c r="AA3" s="28"/>
      <c r="AB3" s="28"/>
      <c r="AC3" s="28"/>
      <c r="AD3" s="29"/>
    </row>
    <row r="4" s="2" customFormat="1" ht="18" customHeight="1" spans="1:30">
      <c r="A4" s="30"/>
      <c r="B4" s="31"/>
      <c r="C4" s="32" t="s">
        <v>349</v>
      </c>
      <c r="D4" s="32"/>
      <c r="E4" s="32"/>
      <c r="F4" s="34" t="s">
        <v>350</v>
      </c>
      <c r="G4" s="33">
        <v>8</v>
      </c>
      <c r="H4" s="35">
        <v>15</v>
      </c>
      <c r="I4" s="35">
        <v>8</v>
      </c>
      <c r="J4" s="35">
        <v>7</v>
      </c>
      <c r="K4" s="35">
        <v>23</v>
      </c>
      <c r="L4" s="33">
        <v>10</v>
      </c>
      <c r="M4" s="33">
        <v>7</v>
      </c>
      <c r="N4" s="34" t="s">
        <v>351</v>
      </c>
      <c r="O4" s="33">
        <v>15</v>
      </c>
      <c r="P4" s="33">
        <v>15</v>
      </c>
      <c r="Q4" s="33">
        <v>9</v>
      </c>
      <c r="R4" s="33">
        <v>12</v>
      </c>
      <c r="S4" s="33">
        <v>5</v>
      </c>
      <c r="T4" s="34" t="s">
        <v>352</v>
      </c>
      <c r="U4" s="33">
        <v>12</v>
      </c>
      <c r="V4" s="34" t="s">
        <v>353</v>
      </c>
      <c r="W4" s="34" t="s">
        <v>353</v>
      </c>
      <c r="X4" s="34" t="s">
        <v>354</v>
      </c>
      <c r="Y4" s="34" t="s">
        <v>355</v>
      </c>
      <c r="Z4" s="34"/>
      <c r="AA4" s="36"/>
      <c r="AB4" s="36"/>
      <c r="AC4" s="36"/>
      <c r="AD4" s="37"/>
    </row>
    <row r="5" s="2" customFormat="1" ht="18" customHeight="1" spans="1:30">
      <c r="A5" s="30"/>
      <c r="B5" s="31"/>
      <c r="C5" s="38" t="s">
        <v>356</v>
      </c>
      <c r="D5" s="39"/>
      <c r="E5" s="32"/>
      <c r="F5" s="34"/>
      <c r="G5" s="40"/>
      <c r="H5" s="35"/>
      <c r="I5" s="35"/>
      <c r="J5" s="35"/>
      <c r="K5" s="35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6"/>
      <c r="AB5" s="36"/>
      <c r="AC5" s="36"/>
      <c r="AD5" s="37"/>
    </row>
    <row r="6" s="1" customFormat="1" ht="27.95" customHeight="1" spans="1:30">
      <c r="A6" s="23">
        <v>1</v>
      </c>
      <c r="B6" s="25" t="s">
        <v>357</v>
      </c>
      <c r="C6" s="25" t="s">
        <v>358</v>
      </c>
      <c r="D6" s="24"/>
      <c r="E6" s="25" t="s">
        <v>359</v>
      </c>
      <c r="F6" s="40"/>
      <c r="G6" s="41"/>
      <c r="H6" s="41"/>
      <c r="I6" s="41"/>
      <c r="J6" s="41"/>
      <c r="K6" s="41"/>
      <c r="L6" s="41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 t="str">
        <f>IF(SUM(F6:L6)=0,"",SUM(F6:L6))</f>
        <v/>
      </c>
      <c r="AA6" s="43">
        <v>0.5</v>
      </c>
      <c r="AB6" s="43">
        <v>39160.4</v>
      </c>
      <c r="AC6" s="44" t="str">
        <f>IF(Z6="","",Z6*AB6)</f>
        <v/>
      </c>
      <c r="AD6" s="29"/>
    </row>
    <row r="7" s="1" customFormat="1" ht="27.95" customHeight="1" spans="1:30">
      <c r="A7" s="23">
        <v>2</v>
      </c>
      <c r="B7" s="25" t="s">
        <v>360</v>
      </c>
      <c r="C7" s="45" t="s">
        <v>361</v>
      </c>
      <c r="D7" s="25" t="s">
        <v>362</v>
      </c>
      <c r="E7" s="25" t="s">
        <v>359</v>
      </c>
      <c r="F7" s="41"/>
      <c r="G7" s="41"/>
      <c r="H7" s="46"/>
      <c r="I7" s="46"/>
      <c r="J7" s="46"/>
      <c r="K7" s="46"/>
      <c r="L7" s="46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 t="str">
        <f>IF(SUM(F7:L7)=0,"",SUM(F7:L7))</f>
        <v/>
      </c>
      <c r="AA7" s="43">
        <v>3</v>
      </c>
      <c r="AB7" s="43">
        <v>35601.55</v>
      </c>
      <c r="AC7" s="44" t="str">
        <f>IF(Z7="","",Z7*AB7)</f>
        <v/>
      </c>
      <c r="AD7" s="29"/>
    </row>
    <row r="8" s="1" customFormat="1" ht="27.95" customHeight="1" spans="1:30">
      <c r="A8" s="23">
        <v>3</v>
      </c>
      <c r="B8" s="25" t="s">
        <v>363</v>
      </c>
      <c r="C8" s="25"/>
      <c r="D8" s="25" t="s">
        <v>364</v>
      </c>
      <c r="E8" s="25" t="s">
        <v>359</v>
      </c>
      <c r="F8" s="41"/>
      <c r="G8" s="46"/>
      <c r="H8" s="46"/>
      <c r="I8" s="46"/>
      <c r="J8" s="46"/>
      <c r="K8" s="46"/>
      <c r="L8" s="46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 t="str">
        <f>IF(SUM(F8:L8)=0,"",SUM(F8:L8))</f>
        <v/>
      </c>
      <c r="AA8" s="43">
        <v>4</v>
      </c>
      <c r="AB8" s="43">
        <v>48009.26</v>
      </c>
      <c r="AC8" s="44" t="str">
        <f>IF(Z8="","",Z8*AB8)</f>
        <v/>
      </c>
      <c r="AD8" s="29"/>
    </row>
    <row r="9" s="1" customFormat="1" ht="27.95" customHeight="1" spans="1:30">
      <c r="A9" s="23">
        <v>4</v>
      </c>
      <c r="B9" s="25" t="s">
        <v>365</v>
      </c>
      <c r="C9" s="25"/>
      <c r="D9" s="25" t="s">
        <v>366</v>
      </c>
      <c r="E9" s="25" t="s">
        <v>359</v>
      </c>
      <c r="F9" s="46"/>
      <c r="G9" s="46"/>
      <c r="H9" s="46"/>
      <c r="I9" s="46"/>
      <c r="J9" s="46"/>
      <c r="K9" s="46"/>
      <c r="L9" s="46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 t="str">
        <f>IF(SUM(F9:L9)=0,"",SUM(F9:L9))</f>
        <v/>
      </c>
      <c r="AA9" s="43">
        <v>6</v>
      </c>
      <c r="AB9" s="43">
        <v>72500.39</v>
      </c>
      <c r="AC9" s="44" t="str">
        <f>IF(Z9="","",Z9*AB9)</f>
        <v/>
      </c>
      <c r="AD9" s="29"/>
    </row>
    <row r="10" s="1" customFormat="1" ht="27.95" customHeight="1" spans="1:30">
      <c r="A10" s="23">
        <v>5</v>
      </c>
      <c r="B10" s="25" t="s">
        <v>367</v>
      </c>
      <c r="C10" s="25"/>
      <c r="D10" s="25" t="s">
        <v>368</v>
      </c>
      <c r="E10" s="25" t="s">
        <v>359</v>
      </c>
      <c r="F10" s="46"/>
      <c r="G10" s="46"/>
      <c r="H10" s="46"/>
      <c r="I10" s="46"/>
      <c r="J10" s="46"/>
      <c r="K10" s="46"/>
      <c r="L10" s="46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 t="str">
        <f>IF(SUM(F10:L10)=0,"",SUM(F10:L10))</f>
        <v/>
      </c>
      <c r="AA10" s="43">
        <v>9</v>
      </c>
      <c r="AB10" s="43">
        <v>109074.9</v>
      </c>
      <c r="AC10" s="44" t="str">
        <f>IF(Z10="","",Z10*AB10)</f>
        <v/>
      </c>
      <c r="AD10" s="29"/>
    </row>
    <row r="11" s="1" customFormat="1" ht="27.95" customHeight="1" spans="1:30">
      <c r="A11" s="23">
        <v>6</v>
      </c>
      <c r="B11" s="25" t="s">
        <v>369</v>
      </c>
      <c r="C11" s="45" t="s">
        <v>370</v>
      </c>
      <c r="D11" s="25" t="s">
        <v>362</v>
      </c>
      <c r="E11" s="25" t="s">
        <v>359</v>
      </c>
      <c r="F11" s="46"/>
      <c r="G11" s="46"/>
      <c r="H11" s="46"/>
      <c r="I11" s="46"/>
      <c r="J11" s="46"/>
      <c r="K11" s="46"/>
      <c r="L11" s="46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 t="str">
        <f>IF(SUM(F11:L11)=0,"",SUM(F11:L11))</f>
        <v/>
      </c>
      <c r="AA11" s="43">
        <v>4</v>
      </c>
      <c r="AB11" s="43">
        <v>47322.1</v>
      </c>
      <c r="AC11" s="44" t="str">
        <f>IF(Z11="","",Z11*AB11)</f>
        <v/>
      </c>
      <c r="AD11" s="29"/>
    </row>
    <row r="12" s="1" customFormat="1" ht="27.95" customHeight="1" spans="1:30">
      <c r="A12" s="23">
        <v>7</v>
      </c>
      <c r="B12" s="25" t="s">
        <v>371</v>
      </c>
      <c r="C12" s="25"/>
      <c r="D12" s="25" t="s">
        <v>364</v>
      </c>
      <c r="E12" s="25" t="s">
        <v>359</v>
      </c>
      <c r="F12" s="46"/>
      <c r="G12" s="46"/>
      <c r="H12" s="46"/>
      <c r="I12" s="46"/>
      <c r="J12" s="46"/>
      <c r="K12" s="46"/>
      <c r="L12" s="46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 t="str">
        <f>IF(SUM(F12:L12)=0,"",SUM(F12:L12))</f>
        <v/>
      </c>
      <c r="AA12" s="43">
        <v>5</v>
      </c>
      <c r="AB12" s="43">
        <v>59652.83</v>
      </c>
      <c r="AC12" s="44" t="str">
        <f>IF(Z12="","",Z12*AB12)</f>
        <v/>
      </c>
      <c r="AD12" s="29"/>
    </row>
    <row r="13" s="1" customFormat="1" ht="27.95" customHeight="1" spans="1:30">
      <c r="A13" s="23">
        <v>8</v>
      </c>
      <c r="B13" s="25" t="s">
        <v>372</v>
      </c>
      <c r="C13" s="25"/>
      <c r="D13" s="25" t="s">
        <v>366</v>
      </c>
      <c r="E13" s="25" t="s">
        <v>359</v>
      </c>
      <c r="F13" s="46"/>
      <c r="G13" s="46"/>
      <c r="H13" s="46"/>
      <c r="I13" s="46"/>
      <c r="J13" s="46"/>
      <c r="K13" s="46"/>
      <c r="L13" s="46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 t="str">
        <f>IF(SUM(F13:L13)=0,"",SUM(F13:L13))</f>
        <v/>
      </c>
      <c r="AA13" s="43">
        <v>7</v>
      </c>
      <c r="AB13" s="43">
        <v>84028.44</v>
      </c>
      <c r="AC13" s="44" t="str">
        <f>IF(Z13="","",Z13*AB13)</f>
        <v/>
      </c>
      <c r="AD13" s="29"/>
    </row>
    <row r="14" s="1" customFormat="1" ht="27.95" customHeight="1" spans="1:30">
      <c r="A14" s="23">
        <v>9</v>
      </c>
      <c r="B14" s="25" t="s">
        <v>373</v>
      </c>
      <c r="C14" s="25"/>
      <c r="D14" s="25" t="s">
        <v>368</v>
      </c>
      <c r="E14" s="25" t="s">
        <v>359</v>
      </c>
      <c r="F14" s="46"/>
      <c r="G14" s="46"/>
      <c r="H14" s="46"/>
      <c r="I14" s="46"/>
      <c r="J14" s="46"/>
      <c r="K14" s="46"/>
      <c r="L14" s="46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 t="str">
        <f>IF(SUM(F14:L14)=0,"",SUM(F14:L14))</f>
        <v/>
      </c>
      <c r="AA14" s="43">
        <v>10</v>
      </c>
      <c r="AB14" s="43">
        <v>120448.92</v>
      </c>
      <c r="AC14" s="44" t="str">
        <f>IF(Z14="","",Z14*AB14)</f>
        <v/>
      </c>
      <c r="AD14" s="29"/>
    </row>
    <row r="15" s="1" customFormat="1" ht="27.95" customHeight="1" spans="1:30">
      <c r="A15" s="23">
        <v>10</v>
      </c>
      <c r="B15" s="25" t="s">
        <v>374</v>
      </c>
      <c r="C15" s="45" t="s">
        <v>375</v>
      </c>
      <c r="D15" s="25" t="s">
        <v>362</v>
      </c>
      <c r="E15" s="25" t="s">
        <v>359</v>
      </c>
      <c r="F15" s="46"/>
      <c r="G15" s="78"/>
      <c r="H15" s="46">
        <v>1.7775</v>
      </c>
      <c r="I15" s="79"/>
      <c r="J15" s="46"/>
      <c r="K15" s="46">
        <v>3.45</v>
      </c>
      <c r="L15" s="46">
        <v>1.61</v>
      </c>
      <c r="M15" s="42"/>
      <c r="N15" s="42"/>
      <c r="O15" s="42"/>
      <c r="P15" s="42"/>
      <c r="Q15" s="42">
        <v>0.54</v>
      </c>
      <c r="R15" s="42"/>
      <c r="S15" s="42">
        <v>0.234</v>
      </c>
      <c r="T15" s="42"/>
      <c r="U15" s="42"/>
      <c r="V15" s="42"/>
      <c r="W15" s="42">
        <v>0.99</v>
      </c>
      <c r="X15" s="42">
        <v>1.272</v>
      </c>
      <c r="Y15" s="42"/>
      <c r="Z15" s="42">
        <f>IF(SUM(F15:Y15)=0,"",SUM(F15:Y15))</f>
        <v>9.8735</v>
      </c>
      <c r="AA15" s="43">
        <v>5</v>
      </c>
      <c r="AB15" s="43">
        <v>46205.85</v>
      </c>
      <c r="AC15" s="44">
        <f>IF(Z15="","",Z15*AB15)</f>
        <v>456213.459975</v>
      </c>
      <c r="AD15" s="29"/>
    </row>
    <row r="16" s="1" customFormat="1" ht="27.95" customHeight="1" spans="1:30">
      <c r="A16" s="23">
        <v>11</v>
      </c>
      <c r="B16" s="25" t="s">
        <v>376</v>
      </c>
      <c r="C16" s="25"/>
      <c r="D16" s="25" t="s">
        <v>364</v>
      </c>
      <c r="E16" s="25" t="s">
        <v>359</v>
      </c>
      <c r="F16" s="46">
        <v>1.1092</v>
      </c>
      <c r="G16" s="78">
        <v>0.536</v>
      </c>
      <c r="H16" s="46"/>
      <c r="I16" s="79">
        <v>0.28</v>
      </c>
      <c r="J16" s="46">
        <v>0.259</v>
      </c>
      <c r="K16" s="46"/>
      <c r="L16" s="46"/>
      <c r="M16" s="42">
        <v>0.2933</v>
      </c>
      <c r="N16" s="42">
        <v>0.5617</v>
      </c>
      <c r="O16" s="42">
        <v>2.3565</v>
      </c>
      <c r="P16" s="42">
        <v>1.821</v>
      </c>
      <c r="Q16" s="42"/>
      <c r="R16" s="42">
        <v>1.7508</v>
      </c>
      <c r="S16" s="42"/>
      <c r="T16" s="42">
        <v>1.374</v>
      </c>
      <c r="U16" s="42">
        <v>0.48</v>
      </c>
      <c r="V16" s="42">
        <v>0.714</v>
      </c>
      <c r="W16" s="42"/>
      <c r="X16" s="42"/>
      <c r="Y16" s="42">
        <v>0.18</v>
      </c>
      <c r="Z16" s="42">
        <f>IF(SUM(F16:Y16)=0,"",SUM(F16:Y16))</f>
        <v>11.7155</v>
      </c>
      <c r="AA16" s="43">
        <v>6</v>
      </c>
      <c r="AB16" s="43">
        <v>55583.25</v>
      </c>
      <c r="AC16" s="44">
        <f>IF(Z16="","",Z16*AB16)</f>
        <v>651185.565375</v>
      </c>
      <c r="AD16" s="29"/>
    </row>
    <row r="17" s="1" customFormat="1" ht="27.95" customHeight="1" spans="1:33">
      <c r="A17" s="23">
        <v>12</v>
      </c>
      <c r="B17" s="25" t="s">
        <v>377</v>
      </c>
      <c r="C17" s="25"/>
      <c r="D17" s="25" t="s">
        <v>366</v>
      </c>
      <c r="E17" s="25" t="s">
        <v>359</v>
      </c>
      <c r="F17" s="46"/>
      <c r="G17" s="46"/>
      <c r="H17" s="46"/>
      <c r="I17" s="46"/>
      <c r="J17" s="46"/>
      <c r="K17" s="46"/>
      <c r="L17" s="46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 t="str">
        <f>IF(SUM(F17:L17)=0,"",SUM(F17:L17))</f>
        <v/>
      </c>
      <c r="AA17" s="43">
        <v>8</v>
      </c>
      <c r="AB17" s="43">
        <v>74399.67</v>
      </c>
      <c r="AC17" s="44" t="str">
        <f>IF(Z17="","",Z17*AB17)</f>
        <v/>
      </c>
      <c r="AD17" s="29"/>
      <c r="AG17" s="47"/>
    </row>
    <row r="18" s="1" customFormat="1" ht="27.95" customHeight="1" spans="1:33">
      <c r="A18" s="23">
        <v>13</v>
      </c>
      <c r="B18" s="25" t="s">
        <v>378</v>
      </c>
      <c r="C18" s="25"/>
      <c r="D18" s="25" t="s">
        <v>368</v>
      </c>
      <c r="E18" s="25" t="s">
        <v>359</v>
      </c>
      <c r="F18" s="46"/>
      <c r="G18" s="46"/>
      <c r="H18" s="46"/>
      <c r="I18" s="46"/>
      <c r="J18" s="46"/>
      <c r="K18" s="46"/>
      <c r="L18" s="46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 t="str">
        <f>IF(SUM(F18:L18)=0,"",SUM(F18:L18))</f>
        <v/>
      </c>
      <c r="AA18" s="43">
        <v>11</v>
      </c>
      <c r="AB18" s="43">
        <v>102552.16</v>
      </c>
      <c r="AC18" s="44" t="str">
        <f>IF(Z18="","",Z18*AB18)</f>
        <v/>
      </c>
      <c r="AD18" s="29"/>
    </row>
    <row r="19" s="1" customFormat="1" ht="27.95" customHeight="1" spans="1:33">
      <c r="A19" s="23">
        <v>14</v>
      </c>
      <c r="B19" s="25" t="s">
        <v>379</v>
      </c>
      <c r="C19" s="25" t="s">
        <v>380</v>
      </c>
      <c r="D19" s="25"/>
      <c r="E19" s="25" t="s">
        <v>359</v>
      </c>
      <c r="F19" s="46"/>
      <c r="G19" s="46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 t="str">
        <f>IF(SUM(F19:L19)=0,"",SUM(F19:L19))</f>
        <v/>
      </c>
      <c r="AA19" s="43">
        <v>3</v>
      </c>
      <c r="AB19" s="43">
        <v>28296.81</v>
      </c>
      <c r="AC19" s="44" t="str">
        <f>IF(Z19="","",Z19*AB19)</f>
        <v/>
      </c>
      <c r="AD19" s="29"/>
      <c r="AF19" s="48"/>
    </row>
    <row r="20" s="1" customFormat="1" ht="27.95" customHeight="1" spans="1:33">
      <c r="A20" s="23">
        <v>15</v>
      </c>
      <c r="B20" s="25" t="s">
        <v>381</v>
      </c>
      <c r="C20" s="25" t="s">
        <v>382</v>
      </c>
      <c r="D20" s="24"/>
      <c r="E20" s="25" t="s">
        <v>359</v>
      </c>
      <c r="F20" s="46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 t="str">
        <f>IF(SUM(F20:L20)=0,"",SUM(F20:L20))</f>
        <v/>
      </c>
      <c r="AA20" s="43">
        <v>2</v>
      </c>
      <c r="AB20" s="43">
        <v>50640.63</v>
      </c>
      <c r="AC20" s="44" t="str">
        <f>IF(Z20="","",Z20*AB20)</f>
        <v/>
      </c>
      <c r="AD20" s="29"/>
    </row>
    <row r="21" s="1" customFormat="1" ht="27.95" customHeight="1" spans="1:33">
      <c r="A21" s="23">
        <v>16</v>
      </c>
      <c r="B21" s="25" t="s">
        <v>383</v>
      </c>
      <c r="C21" s="49" t="s">
        <v>384</v>
      </c>
      <c r="D21" s="50"/>
      <c r="E21" s="25" t="s">
        <v>359</v>
      </c>
      <c r="F21" s="42">
        <v>0.5396</v>
      </c>
      <c r="G21" s="42">
        <v>0.134</v>
      </c>
      <c r="H21" s="42">
        <v>0.611</v>
      </c>
      <c r="I21" s="42"/>
      <c r="J21" s="42">
        <v>0.185</v>
      </c>
      <c r="K21" s="42">
        <v>0.71</v>
      </c>
      <c r="L21" s="42">
        <v>0.966</v>
      </c>
      <c r="M21" s="42">
        <v>0.0862</v>
      </c>
      <c r="N21" s="42">
        <v>0.1902</v>
      </c>
      <c r="O21" s="42">
        <v>0.9426</v>
      </c>
      <c r="P21" s="42">
        <v>0.8844</v>
      </c>
      <c r="Q21" s="42">
        <v>0.12</v>
      </c>
      <c r="R21" s="42">
        <v>0.8754</v>
      </c>
      <c r="S21" s="42"/>
      <c r="T21" s="42">
        <v>0.7852</v>
      </c>
      <c r="U21" s="42">
        <v>0.24</v>
      </c>
      <c r="V21" s="42">
        <v>0.4284</v>
      </c>
      <c r="W21" s="42">
        <v>0.396</v>
      </c>
      <c r="X21" s="42">
        <v>0.636</v>
      </c>
      <c r="Y21" s="42"/>
      <c r="Z21" s="42">
        <f>IF(SUM(F21:Y21)=0,"",SUM(F21:Y21))</f>
        <v>8.73</v>
      </c>
      <c r="AA21" s="43">
        <v>10</v>
      </c>
      <c r="AB21" s="43">
        <v>91241.97</v>
      </c>
      <c r="AC21" s="44">
        <f>IF(Z21="","",Z21*AB21)</f>
        <v>796542.3981</v>
      </c>
      <c r="AD21" s="29"/>
    </row>
    <row r="22" s="1" customFormat="1" ht="27.95" customHeight="1" spans="1:33">
      <c r="A22" s="23">
        <v>17</v>
      </c>
      <c r="B22" s="25" t="s">
        <v>385</v>
      </c>
      <c r="C22" s="25" t="s">
        <v>386</v>
      </c>
      <c r="D22" s="24"/>
      <c r="E22" s="25" t="s">
        <v>359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 t="str">
        <f>IF(SUM(F22:Y22)=0,"",SUM(F22:Y22))</f>
        <v/>
      </c>
      <c r="AA22" s="43">
        <v>2</v>
      </c>
      <c r="AB22" s="43">
        <v>34000.12</v>
      </c>
      <c r="AC22" s="44" t="str">
        <f>IF(Z22="","",Z22*AB22)</f>
        <v/>
      </c>
      <c r="AD22" s="29"/>
      <c r="AG22" s="48"/>
    </row>
    <row r="23" s="1" customFormat="1" ht="27.95" customHeight="1" spans="1:33">
      <c r="A23" s="23">
        <v>18</v>
      </c>
      <c r="B23" s="25" t="s">
        <v>387</v>
      </c>
      <c r="C23" s="25" t="s">
        <v>388</v>
      </c>
      <c r="D23" s="24"/>
      <c r="E23" s="25" t="s">
        <v>359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 t="str">
        <f>IF(SUM(F23:Y23)=0,"",SUM(F23:Y23))</f>
        <v/>
      </c>
      <c r="AA23" s="43">
        <v>3</v>
      </c>
      <c r="AB23" s="43">
        <v>98276.25</v>
      </c>
      <c r="AC23" s="44" t="str">
        <f>IF(Z23="","",Z23*AB23)</f>
        <v/>
      </c>
      <c r="AD23" s="29"/>
    </row>
    <row r="24" s="1" customFormat="1" ht="27.95" customHeight="1" spans="1:33">
      <c r="A24" s="23">
        <v>19</v>
      </c>
      <c r="B24" s="25" t="s">
        <v>389</v>
      </c>
      <c r="C24" s="25" t="s">
        <v>390</v>
      </c>
      <c r="D24" s="24"/>
      <c r="E24" s="25" t="s">
        <v>391</v>
      </c>
      <c r="F24" s="42">
        <v>0.2548</v>
      </c>
      <c r="G24" s="42">
        <v>0.134</v>
      </c>
      <c r="H24" s="42">
        <v>0.237</v>
      </c>
      <c r="I24" s="42"/>
      <c r="J24" s="42">
        <v>0.074</v>
      </c>
      <c r="K24" s="42">
        <v>0.3</v>
      </c>
      <c r="L24" s="42">
        <v>0.322</v>
      </c>
      <c r="M24" s="42">
        <v>0.0838</v>
      </c>
      <c r="N24" s="42">
        <v>0.1422</v>
      </c>
      <c r="O24" s="42">
        <v>0.3142</v>
      </c>
      <c r="P24" s="42">
        <v>0.2428</v>
      </c>
      <c r="Q24" s="42">
        <v>0.12</v>
      </c>
      <c r="R24" s="42">
        <v>0.2918</v>
      </c>
      <c r="S24" s="42"/>
      <c r="T24" s="42">
        <v>0.272</v>
      </c>
      <c r="U24" s="42">
        <v>0.08</v>
      </c>
      <c r="V24" s="42">
        <v>0.0952</v>
      </c>
      <c r="W24" s="42">
        <v>0.132</v>
      </c>
      <c r="X24" s="42">
        <v>0.212</v>
      </c>
      <c r="Y24" s="42"/>
      <c r="Z24" s="42">
        <f>IF(SUM(F24:Y24)=0,"",SUM(F24:Y24))</f>
        <v>3.3078</v>
      </c>
      <c r="AA24" s="43">
        <v>2</v>
      </c>
      <c r="AB24" s="43">
        <v>19703.17</v>
      </c>
      <c r="AC24" s="44">
        <f>IF(Z24="","",Z24*AB24)</f>
        <v>65174.145726</v>
      </c>
      <c r="AD24" s="29"/>
    </row>
    <row r="25" s="1" customFormat="1" ht="27.95" customHeight="1" spans="1:33">
      <c r="A25" s="23">
        <v>20</v>
      </c>
      <c r="B25" s="25" t="s">
        <v>392</v>
      </c>
      <c r="C25" s="25" t="s">
        <v>393</v>
      </c>
      <c r="D25" s="24"/>
      <c r="E25" s="25" t="s">
        <v>391</v>
      </c>
      <c r="F25" s="42">
        <v>0.2548</v>
      </c>
      <c r="G25" s="42">
        <v>0.134</v>
      </c>
      <c r="H25" s="42">
        <v>0.237</v>
      </c>
      <c r="I25" s="42"/>
      <c r="J25" s="42">
        <v>0.074</v>
      </c>
      <c r="K25" s="42">
        <v>0.3</v>
      </c>
      <c r="L25" s="42">
        <v>0.322</v>
      </c>
      <c r="M25" s="42">
        <v>0.0838</v>
      </c>
      <c r="N25" s="42">
        <v>0.1422</v>
      </c>
      <c r="O25" s="42">
        <v>0.3142</v>
      </c>
      <c r="P25" s="42">
        <v>0.2428</v>
      </c>
      <c r="Q25" s="42">
        <v>0.12</v>
      </c>
      <c r="R25" s="42">
        <v>0.2918</v>
      </c>
      <c r="S25" s="42"/>
      <c r="T25" s="42">
        <v>0.272</v>
      </c>
      <c r="U25" s="42">
        <v>0.08</v>
      </c>
      <c r="V25" s="42">
        <v>0.0952</v>
      </c>
      <c r="W25" s="42">
        <v>0.132</v>
      </c>
      <c r="X25" s="42">
        <v>0.212</v>
      </c>
      <c r="Y25" s="42"/>
      <c r="Z25" s="42">
        <f>IF(SUM(F25:Y25)=0,"",SUM(F25:Y25))</f>
        <v>3.3078</v>
      </c>
      <c r="AA25" s="43">
        <v>2</v>
      </c>
      <c r="AB25" s="43">
        <v>21330.37</v>
      </c>
      <c r="AC25" s="44">
        <f>IF(Z25="","",Z25*AB25)</f>
        <v>70556.597886</v>
      </c>
      <c r="AD25" s="29"/>
    </row>
    <row r="26" s="1" customFormat="1" ht="27.95" customHeight="1" spans="1:33">
      <c r="A26" s="23">
        <v>21</v>
      </c>
      <c r="B26" s="25" t="s">
        <v>394</v>
      </c>
      <c r="C26" s="25" t="s">
        <v>395</v>
      </c>
      <c r="D26" s="24"/>
      <c r="E26" s="25" t="s">
        <v>396</v>
      </c>
      <c r="F26" s="51">
        <v>0.06</v>
      </c>
      <c r="G26" s="51">
        <v>0.02</v>
      </c>
      <c r="H26" s="51">
        <v>0.02</v>
      </c>
      <c r="I26" s="51">
        <v>0.02</v>
      </c>
      <c r="J26" s="51">
        <v>0.02</v>
      </c>
      <c r="K26" s="51">
        <v>0.02</v>
      </c>
      <c r="L26" s="51">
        <v>0.02</v>
      </c>
      <c r="M26" s="51">
        <v>0.02</v>
      </c>
      <c r="N26" s="51">
        <v>0.04</v>
      </c>
      <c r="O26" s="51">
        <v>0.02</v>
      </c>
      <c r="P26" s="51">
        <v>0.04</v>
      </c>
      <c r="Q26" s="51">
        <v>0.02</v>
      </c>
      <c r="R26" s="51">
        <v>0.02</v>
      </c>
      <c r="S26" s="51">
        <v>0.02</v>
      </c>
      <c r="T26" s="51">
        <v>0.06</v>
      </c>
      <c r="U26" s="51">
        <v>0.02</v>
      </c>
      <c r="V26" s="51">
        <v>0.02</v>
      </c>
      <c r="W26" s="51">
        <v>0.02</v>
      </c>
      <c r="X26" s="51">
        <v>0.04</v>
      </c>
      <c r="Y26" s="51">
        <v>0.02</v>
      </c>
      <c r="Z26" s="51">
        <f>IF(SUM(F26:Y26)=0,"",SUM(F26:Y26))</f>
        <v>0.54</v>
      </c>
      <c r="AA26" s="52" t="s">
        <v>397</v>
      </c>
      <c r="AB26" s="43">
        <v>45319.32</v>
      </c>
      <c r="AC26" s="44">
        <f>IF(Z26="","",Z26*AB26)</f>
        <v>24472.4328</v>
      </c>
      <c r="AD26" s="29"/>
    </row>
    <row r="27" s="1" customFormat="1" ht="27.95" customHeight="1" spans="1:33">
      <c r="A27" s="23">
        <v>22</v>
      </c>
      <c r="B27" s="25" t="s">
        <v>398</v>
      </c>
      <c r="C27" s="25" t="s">
        <v>399</v>
      </c>
      <c r="D27" s="24"/>
      <c r="E27" s="25" t="s">
        <v>400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 t="str">
        <f>IF(SUM(F27:L27)=0,"",SUM(F27:L27))</f>
        <v/>
      </c>
      <c r="AA27" s="43"/>
      <c r="AB27" s="43">
        <v>4324.39</v>
      </c>
      <c r="AC27" s="44" t="str">
        <f>IF(Z27="","",Z27*AB27)</f>
        <v/>
      </c>
      <c r="AD27" s="29"/>
    </row>
    <row r="28" s="1" customFormat="1" ht="27.95" customHeight="1" spans="1:33">
      <c r="A28" s="23">
        <v>23</v>
      </c>
      <c r="B28" s="25" t="s">
        <v>401</v>
      </c>
      <c r="C28" s="25" t="s">
        <v>402</v>
      </c>
      <c r="D28" s="24"/>
      <c r="E28" s="25" t="s">
        <v>400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 t="str">
        <f>IF(SUM(F28:L28)=0,"",SUM(F28:L28))</f>
        <v/>
      </c>
      <c r="AA28" s="43"/>
      <c r="AB28" s="43">
        <v>5694.95</v>
      </c>
      <c r="AC28" s="44" t="str">
        <f>IF(Z28="","",Z28*AB28)</f>
        <v/>
      </c>
      <c r="AD28" s="29"/>
    </row>
    <row r="29" s="1" customFormat="1" ht="27.95" customHeight="1" spans="1:33">
      <c r="A29" s="23">
        <v>24</v>
      </c>
      <c r="B29" s="25" t="s">
        <v>403</v>
      </c>
      <c r="C29" s="25" t="s">
        <v>404</v>
      </c>
      <c r="D29" s="24"/>
      <c r="E29" s="25" t="s">
        <v>400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 t="str">
        <f>IF(SUM(F29:L29)=0,"",SUM(F29:L29))</f>
        <v/>
      </c>
      <c r="AA29" s="43"/>
      <c r="AB29" s="43">
        <v>5390.34</v>
      </c>
      <c r="AC29" s="44" t="str">
        <f>IF(Z29="","",Z29*AB29)</f>
        <v/>
      </c>
      <c r="AD29" s="29"/>
    </row>
    <row r="30" s="1" customFormat="1" ht="27.95" customHeight="1" spans="1:33">
      <c r="A30" s="23">
        <v>25</v>
      </c>
      <c r="B30" s="25" t="s">
        <v>405</v>
      </c>
      <c r="C30" s="25" t="s">
        <v>406</v>
      </c>
      <c r="D30" s="24"/>
      <c r="E30" s="25" t="s">
        <v>407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 t="str">
        <f>IF(SUM(F30:Y30)=0,"",SUM(F30:Y30))</f>
        <v/>
      </c>
      <c r="AA30" s="43">
        <v>100</v>
      </c>
      <c r="AB30" s="43">
        <v>48.36</v>
      </c>
      <c r="AC30" s="44" t="str">
        <f>IF(Z30="","",Z30*AB30)</f>
        <v/>
      </c>
      <c r="AD30" s="29"/>
    </row>
    <row r="31" s="1" customFormat="1" ht="27.95" customHeight="1" spans="1:33">
      <c r="A31" s="23">
        <v>26</v>
      </c>
      <c r="B31" s="25" t="s">
        <v>408</v>
      </c>
      <c r="C31" s="25" t="s">
        <v>409</v>
      </c>
      <c r="D31" s="25"/>
      <c r="E31" s="25" t="s">
        <v>410</v>
      </c>
      <c r="F31" s="53">
        <v>0.28</v>
      </c>
      <c r="G31" s="53">
        <v>0.09</v>
      </c>
      <c r="H31" s="53">
        <v>0.3</v>
      </c>
      <c r="I31" s="53"/>
      <c r="J31" s="53"/>
      <c r="K31" s="53"/>
      <c r="L31" s="53"/>
      <c r="M31" s="53"/>
      <c r="N31" s="53"/>
      <c r="O31" s="53">
        <v>0.45</v>
      </c>
      <c r="P31" s="53"/>
      <c r="Q31" s="53"/>
      <c r="R31" s="53">
        <v>0.24</v>
      </c>
      <c r="S31" s="53">
        <v>0.05</v>
      </c>
      <c r="T31" s="53"/>
      <c r="U31" s="53">
        <v>0.18</v>
      </c>
      <c r="V31" s="53"/>
      <c r="W31" s="53"/>
      <c r="X31" s="53"/>
      <c r="Y31" s="53"/>
      <c r="Z31" s="53">
        <f>IF(SUM(F31:Y31)=0,"",SUM(F31:Y31))</f>
        <v>1.59</v>
      </c>
      <c r="AA31" s="43">
        <v>7</v>
      </c>
      <c r="AB31" s="43">
        <v>67754.23</v>
      </c>
      <c r="AC31" s="44">
        <f>IF(Z31="","",Z31*AB31)</f>
        <v>107729.2257</v>
      </c>
      <c r="AD31" s="29"/>
    </row>
    <row r="32" s="1" customFormat="1" ht="27.95" customHeight="1" spans="1:33">
      <c r="A32" s="23">
        <v>27</v>
      </c>
      <c r="B32" s="25" t="s">
        <v>411</v>
      </c>
      <c r="C32" s="25" t="s">
        <v>412</v>
      </c>
      <c r="D32" s="24"/>
      <c r="E32" s="25" t="s">
        <v>410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 t="str">
        <f>IF(SUM(F32:L32)=0,"",SUM(F32:L32))</f>
        <v/>
      </c>
      <c r="AA32" s="43">
        <v>4</v>
      </c>
      <c r="AB32" s="43">
        <v>130778.79</v>
      </c>
      <c r="AC32" s="44" t="str">
        <f>IF(Z32="","",Z32*AB32)</f>
        <v/>
      </c>
      <c r="AD32" s="29"/>
    </row>
    <row r="33" s="1" customFormat="1" ht="27.95" customHeight="1" spans="1:30">
      <c r="A33" s="23">
        <v>28</v>
      </c>
      <c r="B33" s="25" t="s">
        <v>413</v>
      </c>
      <c r="C33" s="25" t="s">
        <v>414</v>
      </c>
      <c r="D33" s="24"/>
      <c r="E33" s="25" t="s">
        <v>410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 t="str">
        <f>IF(SUM(F33:L33)=0,"",SUM(F33:L33))</f>
        <v/>
      </c>
      <c r="AA33" s="43">
        <v>0.5</v>
      </c>
      <c r="AB33" s="43">
        <v>49773.58</v>
      </c>
      <c r="AC33" s="44" t="str">
        <f>IF(Z33="","",Z33*AB33)</f>
        <v/>
      </c>
      <c r="AD33" s="29"/>
    </row>
    <row r="34" s="3" customFormat="1" ht="27.95" customHeight="1" spans="1:30">
      <c r="A34" s="23">
        <v>29</v>
      </c>
      <c r="B34" s="25" t="s">
        <v>415</v>
      </c>
      <c r="C34" s="25" t="s">
        <v>416</v>
      </c>
      <c r="D34" s="24"/>
      <c r="E34" s="25" t="s">
        <v>410</v>
      </c>
      <c r="F34" s="54"/>
      <c r="G34" s="54"/>
      <c r="H34" s="53"/>
      <c r="I34" s="53"/>
      <c r="J34" s="53"/>
      <c r="K34" s="53"/>
      <c r="L34" s="54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 t="str">
        <f>IF(SUM(F34:L34)=0,"",SUM(F34:L34))</f>
        <v/>
      </c>
      <c r="AA34" s="43">
        <v>0.5</v>
      </c>
      <c r="AB34" s="43">
        <v>162263.13</v>
      </c>
      <c r="AC34" s="44" t="str">
        <f>IF(Z34="","",Z34*AB34)</f>
        <v/>
      </c>
      <c r="AD34" s="55"/>
    </row>
    <row r="35" s="1" customFormat="1" ht="27.95" customHeight="1" spans="1:30">
      <c r="A35" s="23">
        <v>30</v>
      </c>
      <c r="B35" s="25" t="s">
        <v>417</v>
      </c>
      <c r="C35" s="25" t="s">
        <v>418</v>
      </c>
      <c r="D35" s="24"/>
      <c r="E35" s="25" t="s">
        <v>410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 t="str">
        <f>IF(SUM(F35:L35)=0,"",SUM(F35:L35))</f>
        <v/>
      </c>
      <c r="AA35" s="56"/>
      <c r="AB35" s="43">
        <v>189462.95</v>
      </c>
      <c r="AC35" s="44" t="str">
        <f>IF(Z35="","",Z35*AB35)</f>
        <v/>
      </c>
      <c r="AD35" s="29"/>
    </row>
    <row r="36" s="1" customFormat="1" ht="27.95" customHeight="1" spans="1:30">
      <c r="A36" s="23">
        <v>31</v>
      </c>
      <c r="B36" s="25" t="s">
        <v>419</v>
      </c>
      <c r="C36" s="25" t="s">
        <v>420</v>
      </c>
      <c r="D36" s="24"/>
      <c r="E36" s="25" t="s">
        <v>410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 t="str">
        <f>IF(SUM(F36:L36)=0,"",SUM(F36:L36))</f>
        <v/>
      </c>
      <c r="AA36" s="43">
        <v>0.5</v>
      </c>
      <c r="AB36" s="43">
        <v>104995.04</v>
      </c>
      <c r="AC36" s="44" t="str">
        <f>IF(Z36="","",Z36*AB36)</f>
        <v/>
      </c>
      <c r="AD36" s="29"/>
    </row>
    <row r="37" s="1" customFormat="1" ht="27.95" customHeight="1" spans="1:30">
      <c r="A37" s="57"/>
      <c r="B37" s="58"/>
      <c r="C37" s="58" t="s">
        <v>29</v>
      </c>
      <c r="D37" s="58"/>
      <c r="E37" s="58"/>
      <c r="F37" s="58"/>
      <c r="G37" s="53"/>
      <c r="H37" s="58"/>
      <c r="I37" s="58"/>
      <c r="J37" s="58"/>
      <c r="K37" s="58"/>
      <c r="L37" s="58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60"/>
      <c r="AB37" s="60"/>
      <c r="AC37" s="61">
        <f>SUM(AC6:AC36)</f>
        <v>2171873.825562</v>
      </c>
      <c r="AD37" s="62"/>
    </row>
    <row r="38" spans="1:30">
      <c r="F38" s="53"/>
      <c r="G38" s="58"/>
    </row>
    <row r="39" spans="1:30">
      <c r="F39" s="58"/>
    </row>
  </sheetData>
  <mergeCells count="36">
    <mergeCell ref="C1:D1"/>
    <mergeCell ref="C2:D2"/>
    <mergeCell ref="C3:D3"/>
    <mergeCell ref="C4:D4"/>
    <mergeCell ref="C5:D5"/>
    <mergeCell ref="C6:D6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1:A2"/>
    <mergeCell ref="B1:B2"/>
    <mergeCell ref="C7:C10"/>
    <mergeCell ref="C11:C14"/>
    <mergeCell ref="C15:C18"/>
    <mergeCell ref="E1:E2"/>
    <mergeCell ref="Z1:Z2"/>
    <mergeCell ref="AA1:AA2"/>
    <mergeCell ref="AB1:AB2"/>
    <mergeCell ref="AC1:AC2"/>
    <mergeCell ref="AD1:AD2"/>
  </mergeCells>
  <printOptions horizontalCentered="1"/>
  <pageMargins left="0.45" right="0.45" top="0.95" bottom="0.56" header="0.61" footer="0.35"/>
  <pageSetup paperSize="9" scale="70" orientation="portrait" horizontalDpi="600" verticalDpi="600"/>
  <headerFooter alignWithMargins="0">
    <oddHeader>&amp;C&amp;"黑体,常规"&amp;20 08年～13年建的道路设施养护工程--包件一（谈判）</oddHeader>
    <oddFooter>&amp;C共&amp;N页，第&amp;P页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"/>
  <sheetViews>
    <sheetView zoomScale="85" zoomScaleNormal="85" zoomScaleSheetLayoutView="50" workbookViewId="0">
      <pane xSplit="5" ySplit="4" topLeftCell="G25" activePane="bottomRight" state="frozen"/>
      <selection/>
      <selection pane="topRight"/>
      <selection pane="bottomLeft"/>
      <selection pane="bottomRight" activeCell="M22" sqref="M22"/>
    </sheetView>
  </sheetViews>
  <sheetFormatPr defaultColWidth="9" defaultRowHeight="14.25"/>
  <cols>
    <col min="1" max="1" width="5.75" style="4" customWidth="1"/>
    <col min="2" max="2" width="9" style="4"/>
    <col min="3" max="3" width="15.125" style="5" customWidth="1"/>
    <col min="4" max="4" width="10.75" style="5" customWidth="1"/>
    <col min="5" max="5" width="9.25" style="5" customWidth="1"/>
    <col min="6" max="6" width="14.875" style="5" customWidth="1"/>
    <col min="7" max="7" width="15" style="5" customWidth="1"/>
    <col min="8" max="8" width="15.125" style="5" customWidth="1"/>
    <col min="9" max="9" width="14" style="5" customWidth="1"/>
    <col min="10" max="10" width="14.75" style="5" customWidth="1"/>
    <col min="11" max="11" width="15.125" style="5" customWidth="1"/>
    <col min="12" max="12" width="14.625" style="5" customWidth="1"/>
    <col min="13" max="13" width="13.5" style="5" customWidth="1"/>
    <col min="14" max="18" width="13.5" style="5" hidden="1" customWidth="1"/>
    <col min="19" max="20" width="13.5" style="5" customWidth="1"/>
    <col min="21" max="21" width="11.125" style="5" customWidth="1"/>
    <col min="22" max="23" width="17.875" style="5" customWidth="1"/>
    <col min="24" max="24" width="27.375" style="5" customWidth="1"/>
    <col min="25" max="26" width="9" style="4"/>
    <col min="27" max="27" width="12" style="4" customWidth="1"/>
    <col min="28" max="16384" width="9" style="4"/>
  </cols>
  <sheetData>
    <row r="1" ht="23.25" customHeight="1" spans="1:24">
      <c r="A1" s="6" t="s">
        <v>1</v>
      </c>
      <c r="B1" s="7" t="s">
        <v>320</v>
      </c>
      <c r="C1" s="8" t="s">
        <v>321</v>
      </c>
      <c r="D1" s="8"/>
      <c r="E1" s="8" t="s">
        <v>322</v>
      </c>
      <c r="F1" s="63" t="s">
        <v>15</v>
      </c>
      <c r="G1" s="64" t="s">
        <v>11</v>
      </c>
      <c r="H1" s="63" t="s">
        <v>249</v>
      </c>
      <c r="I1" s="63" t="s">
        <v>13</v>
      </c>
      <c r="J1" s="63" t="s">
        <v>47</v>
      </c>
      <c r="K1" s="63" t="s">
        <v>25</v>
      </c>
      <c r="L1" s="63" t="s">
        <v>252</v>
      </c>
      <c r="M1" s="63" t="s">
        <v>260</v>
      </c>
      <c r="N1" s="11"/>
      <c r="O1" s="11"/>
      <c r="P1" s="11"/>
      <c r="Q1" s="11"/>
      <c r="R1" s="11"/>
      <c r="S1" s="11"/>
      <c r="T1" s="12" t="s">
        <v>324</v>
      </c>
      <c r="U1" s="13" t="s">
        <v>325</v>
      </c>
      <c r="V1" s="13" t="s">
        <v>326</v>
      </c>
      <c r="W1" s="13" t="s">
        <v>327</v>
      </c>
      <c r="X1" s="14" t="s">
        <v>35</v>
      </c>
    </row>
    <row r="2" s="1" customFormat="1" ht="30" customHeight="1" spans="1:24">
      <c r="A2" s="15"/>
      <c r="B2" s="16"/>
      <c r="C2" s="17" t="s">
        <v>328</v>
      </c>
      <c r="D2" s="17"/>
      <c r="E2" s="17"/>
      <c r="F2" s="65" t="s">
        <v>421</v>
      </c>
      <c r="G2" s="66" t="s">
        <v>422</v>
      </c>
      <c r="H2" s="65" t="s">
        <v>16</v>
      </c>
      <c r="I2" s="65" t="s">
        <v>423</v>
      </c>
      <c r="J2" s="65" t="s">
        <v>16</v>
      </c>
      <c r="K2" s="65" t="s">
        <v>26</v>
      </c>
      <c r="L2" s="65" t="s">
        <v>16</v>
      </c>
      <c r="M2" s="67" t="s">
        <v>424</v>
      </c>
      <c r="N2" s="19"/>
      <c r="O2" s="19"/>
      <c r="P2" s="19"/>
      <c r="Q2" s="19"/>
      <c r="R2" s="19"/>
      <c r="S2" s="19"/>
      <c r="T2" s="20"/>
      <c r="U2" s="21"/>
      <c r="V2" s="21"/>
      <c r="W2" s="21"/>
      <c r="X2" s="22"/>
    </row>
    <row r="3" s="1" customFormat="1" ht="18" customHeight="1" spans="1:24">
      <c r="A3" s="23"/>
      <c r="B3" s="24"/>
      <c r="C3" s="25" t="s">
        <v>348</v>
      </c>
      <c r="D3" s="25"/>
      <c r="E3" s="25"/>
      <c r="F3" s="68">
        <v>1171</v>
      </c>
      <c r="G3" s="68">
        <v>1910</v>
      </c>
      <c r="H3" s="68">
        <v>645</v>
      </c>
      <c r="I3" s="68">
        <v>300</v>
      </c>
      <c r="J3" s="68">
        <v>1017</v>
      </c>
      <c r="K3" s="68">
        <v>347</v>
      </c>
      <c r="L3" s="68">
        <v>466</v>
      </c>
      <c r="M3" s="69">
        <v>250</v>
      </c>
      <c r="N3" s="27"/>
      <c r="O3" s="27"/>
      <c r="P3" s="27"/>
      <c r="Q3" s="27"/>
      <c r="R3" s="27"/>
      <c r="S3" s="27"/>
      <c r="T3" s="27">
        <f>IF(SUM(F3:M3)=0,"",SUM(F3:M3))</f>
        <v>6106</v>
      </c>
      <c r="U3" s="28"/>
      <c r="V3" s="28"/>
      <c r="W3" s="28"/>
      <c r="X3" s="29"/>
    </row>
    <row r="4" s="2" customFormat="1" ht="18" customHeight="1" spans="1:24">
      <c r="A4" s="30"/>
      <c r="B4" s="31"/>
      <c r="C4" s="32" t="s">
        <v>349</v>
      </c>
      <c r="D4" s="32"/>
      <c r="E4" s="32"/>
      <c r="F4" s="34" t="s">
        <v>425</v>
      </c>
      <c r="G4" s="33">
        <v>15</v>
      </c>
      <c r="H4" s="35">
        <v>15</v>
      </c>
      <c r="I4" s="35">
        <v>15</v>
      </c>
      <c r="J4" s="34" t="s">
        <v>426</v>
      </c>
      <c r="K4" s="35">
        <v>10</v>
      </c>
      <c r="L4" s="33">
        <v>10</v>
      </c>
      <c r="M4" s="33">
        <v>7</v>
      </c>
      <c r="N4" s="34"/>
      <c r="O4" s="34"/>
      <c r="P4" s="34"/>
      <c r="Q4" s="34"/>
      <c r="R4" s="34"/>
      <c r="S4" s="34"/>
      <c r="T4" s="34"/>
      <c r="U4" s="36"/>
      <c r="V4" s="36"/>
      <c r="W4" s="36"/>
      <c r="X4" s="37"/>
    </row>
    <row r="5" s="2" customFormat="1" ht="18" customHeight="1" spans="1:24">
      <c r="A5" s="30"/>
      <c r="B5" s="31"/>
      <c r="C5" s="38" t="s">
        <v>356</v>
      </c>
      <c r="D5" s="39"/>
      <c r="E5" s="32"/>
      <c r="F5" s="34"/>
      <c r="G5" s="40"/>
      <c r="H5" s="35"/>
      <c r="I5" s="35"/>
      <c r="J5" s="35"/>
      <c r="K5" s="35"/>
      <c r="L5" s="34"/>
      <c r="M5" s="34"/>
      <c r="N5" s="34"/>
      <c r="O5" s="34"/>
      <c r="P5" s="34"/>
      <c r="Q5" s="34"/>
      <c r="R5" s="34"/>
      <c r="S5" s="34"/>
      <c r="T5" s="34"/>
      <c r="U5" s="36"/>
      <c r="V5" s="36"/>
      <c r="W5" s="36"/>
      <c r="X5" s="37"/>
    </row>
    <row r="6" s="1" customFormat="1" ht="27.95" customHeight="1" spans="1:24">
      <c r="A6" s="23">
        <v>1</v>
      </c>
      <c r="B6" s="25" t="s">
        <v>357</v>
      </c>
      <c r="C6" s="25" t="s">
        <v>358</v>
      </c>
      <c r="D6" s="24"/>
      <c r="E6" s="25" t="s">
        <v>359</v>
      </c>
      <c r="F6" s="40"/>
      <c r="G6" s="41"/>
      <c r="H6" s="41"/>
      <c r="I6" s="41"/>
      <c r="J6" s="41"/>
      <c r="K6" s="41"/>
      <c r="L6" s="41"/>
      <c r="M6" s="42"/>
      <c r="N6" s="42"/>
      <c r="O6" s="42"/>
      <c r="P6" s="42"/>
      <c r="Q6" s="42"/>
      <c r="R6" s="42"/>
      <c r="S6" s="42"/>
      <c r="T6" s="42" t="str">
        <f>IF(SUM(F6:L6)=0,"",SUM(F6:L6))</f>
        <v/>
      </c>
      <c r="U6" s="43">
        <v>0.5</v>
      </c>
      <c r="V6" s="43">
        <v>39160.4</v>
      </c>
      <c r="W6" s="44" t="str">
        <f>IF(T6="","",T6*V6)</f>
        <v/>
      </c>
      <c r="X6" s="29"/>
    </row>
    <row r="7" s="1" customFormat="1" ht="27.95" customHeight="1" spans="1:24">
      <c r="A7" s="23">
        <v>2</v>
      </c>
      <c r="B7" s="25" t="s">
        <v>360</v>
      </c>
      <c r="C7" s="45" t="s">
        <v>361</v>
      </c>
      <c r="D7" s="25" t="s">
        <v>362</v>
      </c>
      <c r="E7" s="25" t="s">
        <v>359</v>
      </c>
      <c r="F7" s="41"/>
      <c r="G7" s="41"/>
      <c r="H7" s="46"/>
      <c r="I7" s="46"/>
      <c r="J7" s="46"/>
      <c r="K7" s="46"/>
      <c r="L7" s="46"/>
      <c r="M7" s="42"/>
      <c r="N7" s="42"/>
      <c r="O7" s="42"/>
      <c r="P7" s="42"/>
      <c r="Q7" s="42"/>
      <c r="R7" s="42"/>
      <c r="S7" s="42"/>
      <c r="T7" s="42" t="str">
        <f>IF(SUM(F7:L7)=0,"",SUM(F7:L7))</f>
        <v/>
      </c>
      <c r="U7" s="43">
        <v>3</v>
      </c>
      <c r="V7" s="43">
        <v>35601.55</v>
      </c>
      <c r="W7" s="44" t="str">
        <f>IF(T7="","",T7*V7)</f>
        <v/>
      </c>
      <c r="X7" s="29"/>
    </row>
    <row r="8" s="1" customFormat="1" ht="27.95" customHeight="1" spans="1:24">
      <c r="A8" s="23">
        <v>3</v>
      </c>
      <c r="B8" s="25" t="s">
        <v>363</v>
      </c>
      <c r="C8" s="25"/>
      <c r="D8" s="25" t="s">
        <v>364</v>
      </c>
      <c r="E8" s="25" t="s">
        <v>359</v>
      </c>
      <c r="F8" s="41"/>
      <c r="G8" s="46"/>
      <c r="H8" s="46"/>
      <c r="I8" s="46"/>
      <c r="J8" s="46"/>
      <c r="K8" s="46"/>
      <c r="L8" s="46"/>
      <c r="M8" s="42"/>
      <c r="N8" s="42"/>
      <c r="O8" s="42"/>
      <c r="P8" s="42"/>
      <c r="Q8" s="42"/>
      <c r="R8" s="42"/>
      <c r="S8" s="42"/>
      <c r="T8" s="42" t="str">
        <f>IF(SUM(F8:L8)=0,"",SUM(F8:L8))</f>
        <v/>
      </c>
      <c r="U8" s="43">
        <v>4</v>
      </c>
      <c r="V8" s="43">
        <v>48009.26</v>
      </c>
      <c r="W8" s="44" t="str">
        <f>IF(T8="","",T8*V8)</f>
        <v/>
      </c>
      <c r="X8" s="29"/>
    </row>
    <row r="9" s="1" customFormat="1" ht="27.95" customHeight="1" spans="1:24">
      <c r="A9" s="23">
        <v>4</v>
      </c>
      <c r="B9" s="25" t="s">
        <v>365</v>
      </c>
      <c r="C9" s="25"/>
      <c r="D9" s="25" t="s">
        <v>366</v>
      </c>
      <c r="E9" s="25" t="s">
        <v>359</v>
      </c>
      <c r="F9" s="46"/>
      <c r="G9" s="46"/>
      <c r="H9" s="46"/>
      <c r="I9" s="46"/>
      <c r="J9" s="46"/>
      <c r="K9" s="46"/>
      <c r="L9" s="46"/>
      <c r="M9" s="42"/>
      <c r="N9" s="42"/>
      <c r="O9" s="42"/>
      <c r="P9" s="42"/>
      <c r="Q9" s="42"/>
      <c r="R9" s="42"/>
      <c r="S9" s="42"/>
      <c r="T9" s="42" t="str">
        <f>IF(SUM(F9:L9)=0,"",SUM(F9:L9))</f>
        <v/>
      </c>
      <c r="U9" s="43">
        <v>6</v>
      </c>
      <c r="V9" s="43">
        <v>72500.39</v>
      </c>
      <c r="W9" s="44" t="str">
        <f>IF(T9="","",T9*V9)</f>
        <v/>
      </c>
      <c r="X9" s="29"/>
    </row>
    <row r="10" s="1" customFormat="1" ht="27.95" customHeight="1" spans="1:24">
      <c r="A10" s="23">
        <v>5</v>
      </c>
      <c r="B10" s="25" t="s">
        <v>367</v>
      </c>
      <c r="C10" s="25"/>
      <c r="D10" s="25" t="s">
        <v>368</v>
      </c>
      <c r="E10" s="25" t="s">
        <v>359</v>
      </c>
      <c r="F10" s="46"/>
      <c r="G10" s="46"/>
      <c r="H10" s="46"/>
      <c r="I10" s="46"/>
      <c r="J10" s="46"/>
      <c r="K10" s="46"/>
      <c r="L10" s="46"/>
      <c r="M10" s="42"/>
      <c r="N10" s="42"/>
      <c r="O10" s="42"/>
      <c r="P10" s="42"/>
      <c r="Q10" s="42"/>
      <c r="R10" s="42"/>
      <c r="S10" s="42"/>
      <c r="T10" s="42" t="str">
        <f>IF(SUM(F10:L10)=0,"",SUM(F10:L10))</f>
        <v/>
      </c>
      <c r="U10" s="43">
        <v>9</v>
      </c>
      <c r="V10" s="43">
        <v>109074.9</v>
      </c>
      <c r="W10" s="44" t="str">
        <f>IF(T10="","",T10*V10)</f>
        <v/>
      </c>
      <c r="X10" s="29"/>
    </row>
    <row r="11" s="1" customFormat="1" ht="27.95" customHeight="1" spans="1:24">
      <c r="A11" s="23">
        <v>6</v>
      </c>
      <c r="B11" s="25" t="s">
        <v>369</v>
      </c>
      <c r="C11" s="45" t="s">
        <v>370</v>
      </c>
      <c r="D11" s="25" t="s">
        <v>362</v>
      </c>
      <c r="E11" s="25" t="s">
        <v>359</v>
      </c>
      <c r="F11" s="46"/>
      <c r="G11" s="46"/>
      <c r="H11" s="46"/>
      <c r="I11" s="46"/>
      <c r="J11" s="46"/>
      <c r="K11" s="46"/>
      <c r="L11" s="46"/>
      <c r="M11" s="42"/>
      <c r="N11" s="42"/>
      <c r="O11" s="42"/>
      <c r="P11" s="42"/>
      <c r="Q11" s="42"/>
      <c r="R11" s="42"/>
      <c r="S11" s="42"/>
      <c r="T11" s="42" t="str">
        <f>IF(SUM(F11:L11)=0,"",SUM(F11:L11))</f>
        <v/>
      </c>
      <c r="U11" s="43">
        <v>4</v>
      </c>
      <c r="V11" s="43">
        <v>47322.1</v>
      </c>
      <c r="W11" s="44" t="str">
        <f>IF(T11="","",T11*V11)</f>
        <v/>
      </c>
      <c r="X11" s="29"/>
    </row>
    <row r="12" s="1" customFormat="1" ht="27.95" customHeight="1" spans="1:24">
      <c r="A12" s="23">
        <v>7</v>
      </c>
      <c r="B12" s="25" t="s">
        <v>371</v>
      </c>
      <c r="C12" s="25"/>
      <c r="D12" s="25" t="s">
        <v>364</v>
      </c>
      <c r="E12" s="25" t="s">
        <v>359</v>
      </c>
      <c r="F12" s="46"/>
      <c r="G12" s="46"/>
      <c r="H12" s="46"/>
      <c r="I12" s="46"/>
      <c r="J12" s="46"/>
      <c r="K12" s="46"/>
      <c r="L12" s="46"/>
      <c r="M12" s="42"/>
      <c r="N12" s="42"/>
      <c r="O12" s="42"/>
      <c r="P12" s="42"/>
      <c r="Q12" s="42"/>
      <c r="R12" s="42"/>
      <c r="S12" s="42"/>
      <c r="T12" s="42" t="str">
        <f>IF(SUM(F12:L12)=0,"",SUM(F12:L12))</f>
        <v/>
      </c>
      <c r="U12" s="43">
        <v>5</v>
      </c>
      <c r="V12" s="43">
        <v>59652.83</v>
      </c>
      <c r="W12" s="44" t="str">
        <f>IF(T12="","",T12*V12)</f>
        <v/>
      </c>
      <c r="X12" s="29"/>
    </row>
    <row r="13" s="1" customFormat="1" ht="27.95" customHeight="1" spans="1:24">
      <c r="A13" s="23">
        <v>8</v>
      </c>
      <c r="B13" s="25" t="s">
        <v>372</v>
      </c>
      <c r="C13" s="25"/>
      <c r="D13" s="25" t="s">
        <v>366</v>
      </c>
      <c r="E13" s="25" t="s">
        <v>359</v>
      </c>
      <c r="F13" s="46"/>
      <c r="G13" s="46"/>
      <c r="H13" s="46"/>
      <c r="I13" s="46"/>
      <c r="J13" s="46"/>
      <c r="K13" s="46"/>
      <c r="L13" s="46"/>
      <c r="M13" s="42"/>
      <c r="N13" s="42"/>
      <c r="O13" s="42"/>
      <c r="P13" s="42"/>
      <c r="Q13" s="42"/>
      <c r="R13" s="42"/>
      <c r="S13" s="42"/>
      <c r="T13" s="42" t="str">
        <f>IF(SUM(F13:L13)=0,"",SUM(F13:L13))</f>
        <v/>
      </c>
      <c r="U13" s="43">
        <v>7</v>
      </c>
      <c r="V13" s="43">
        <v>84028.44</v>
      </c>
      <c r="W13" s="44" t="str">
        <f>IF(T13="","",T13*V13)</f>
        <v/>
      </c>
      <c r="X13" s="29"/>
    </row>
    <row r="14" s="1" customFormat="1" ht="27.95" customHeight="1" spans="1:24">
      <c r="A14" s="23">
        <v>9</v>
      </c>
      <c r="B14" s="25" t="s">
        <v>373</v>
      </c>
      <c r="C14" s="25"/>
      <c r="D14" s="25" t="s">
        <v>368</v>
      </c>
      <c r="E14" s="25" t="s">
        <v>359</v>
      </c>
      <c r="F14" s="46"/>
      <c r="G14" s="46"/>
      <c r="H14" s="46"/>
      <c r="I14" s="46"/>
      <c r="J14" s="46"/>
      <c r="K14" s="46"/>
      <c r="L14" s="46"/>
      <c r="M14" s="42"/>
      <c r="N14" s="42"/>
      <c r="O14" s="42"/>
      <c r="P14" s="42"/>
      <c r="Q14" s="42"/>
      <c r="R14" s="42"/>
      <c r="S14" s="42"/>
      <c r="T14" s="42" t="str">
        <f>IF(SUM(F14:L14)=0,"",SUM(F14:L14))</f>
        <v/>
      </c>
      <c r="U14" s="43">
        <v>10</v>
      </c>
      <c r="V14" s="43">
        <v>120448.92</v>
      </c>
      <c r="W14" s="44" t="str">
        <f>IF(T14="","",T14*V14)</f>
        <v/>
      </c>
      <c r="X14" s="29"/>
    </row>
    <row r="15" s="1" customFormat="1" ht="27.95" customHeight="1" spans="1:24">
      <c r="A15" s="23">
        <v>10</v>
      </c>
      <c r="B15" s="25" t="s">
        <v>374</v>
      </c>
      <c r="C15" s="45" t="s">
        <v>375</v>
      </c>
      <c r="D15" s="25" t="s">
        <v>362</v>
      </c>
      <c r="E15" s="25" t="s">
        <v>359</v>
      </c>
      <c r="F15" s="46"/>
      <c r="G15" s="46"/>
      <c r="H15" s="46"/>
      <c r="I15" s="46"/>
      <c r="J15" s="46">
        <v>1.317</v>
      </c>
      <c r="K15" s="46">
        <v>0.347</v>
      </c>
      <c r="L15" s="46"/>
      <c r="M15" s="42"/>
      <c r="N15" s="42"/>
      <c r="O15" s="42"/>
      <c r="P15" s="42"/>
      <c r="Q15" s="42"/>
      <c r="R15" s="42"/>
      <c r="S15" s="42"/>
      <c r="T15" s="42">
        <f>IF(SUM(F15:M15)=0,"",SUM(F15:M15))</f>
        <v>1.664</v>
      </c>
      <c r="U15" s="43">
        <v>5</v>
      </c>
      <c r="V15" s="43">
        <v>46205.85</v>
      </c>
      <c r="W15" s="44">
        <f>IF(T15="","",T15*V15)</f>
        <v>76886.5344</v>
      </c>
      <c r="X15" s="29"/>
    </row>
    <row r="16" s="1" customFormat="1" ht="27.95" customHeight="1" spans="1:24">
      <c r="A16" s="23">
        <v>11</v>
      </c>
      <c r="B16" s="25" t="s">
        <v>376</v>
      </c>
      <c r="C16" s="25"/>
      <c r="D16" s="25" t="s">
        <v>364</v>
      </c>
      <c r="E16" s="25" t="s">
        <v>359</v>
      </c>
      <c r="F16" s="46"/>
      <c r="G16" s="46">
        <v>2.865</v>
      </c>
      <c r="H16" s="46">
        <v>0.9675</v>
      </c>
      <c r="I16" s="46">
        <v>0.45</v>
      </c>
      <c r="J16" s="46"/>
      <c r="K16" s="46"/>
      <c r="L16" s="46">
        <v>0.466</v>
      </c>
      <c r="M16" s="42">
        <v>0.175</v>
      </c>
      <c r="N16" s="42"/>
      <c r="O16" s="42"/>
      <c r="P16" s="42"/>
      <c r="Q16" s="42"/>
      <c r="R16" s="42"/>
      <c r="S16" s="42"/>
      <c r="T16" s="42">
        <f>IF(SUM(F16:M16)=0,"",SUM(F16:M16))</f>
        <v>4.9235</v>
      </c>
      <c r="U16" s="43">
        <v>6</v>
      </c>
      <c r="V16" s="43">
        <v>55583.25</v>
      </c>
      <c r="W16" s="44">
        <f>IF(T16="","",T16*V16)</f>
        <v>273664.131375</v>
      </c>
      <c r="X16" s="29"/>
    </row>
    <row r="17" s="1" customFormat="1" ht="27.95" customHeight="1" spans="1:27">
      <c r="A17" s="23">
        <v>12</v>
      </c>
      <c r="B17" s="25" t="s">
        <v>377</v>
      </c>
      <c r="C17" s="25"/>
      <c r="D17" s="25" t="s">
        <v>366</v>
      </c>
      <c r="E17" s="25" t="s">
        <v>359</v>
      </c>
      <c r="F17" s="46"/>
      <c r="G17" s="46"/>
      <c r="H17" s="46"/>
      <c r="I17" s="46"/>
      <c r="J17" s="46"/>
      <c r="K17" s="46"/>
      <c r="L17" s="46"/>
      <c r="M17" s="42"/>
      <c r="N17" s="42"/>
      <c r="O17" s="42"/>
      <c r="P17" s="42"/>
      <c r="Q17" s="42"/>
      <c r="R17" s="42"/>
      <c r="S17" s="42"/>
      <c r="T17" s="42" t="str">
        <f>IF(SUM(F17:L17)=0,"",SUM(F17:L17))</f>
        <v/>
      </c>
      <c r="U17" s="43">
        <v>8</v>
      </c>
      <c r="V17" s="43">
        <v>74399.67</v>
      </c>
      <c r="W17" s="44" t="str">
        <f>IF(T17="","",T17*V17)</f>
        <v/>
      </c>
      <c r="X17" s="29"/>
      <c r="AA17" s="47"/>
    </row>
    <row r="18" s="1" customFormat="1" ht="27.95" customHeight="1" spans="1:27">
      <c r="A18" s="23">
        <v>13</v>
      </c>
      <c r="B18" s="25" t="s">
        <v>378</v>
      </c>
      <c r="C18" s="25"/>
      <c r="D18" s="25" t="s">
        <v>368</v>
      </c>
      <c r="E18" s="25" t="s">
        <v>359</v>
      </c>
      <c r="F18" s="46"/>
      <c r="G18" s="46"/>
      <c r="H18" s="46"/>
      <c r="I18" s="46"/>
      <c r="J18" s="46"/>
      <c r="K18" s="46"/>
      <c r="L18" s="46"/>
      <c r="M18" s="42"/>
      <c r="N18" s="42"/>
      <c r="O18" s="42"/>
      <c r="P18" s="42"/>
      <c r="Q18" s="42"/>
      <c r="R18" s="42"/>
      <c r="S18" s="42"/>
      <c r="T18" s="42" t="str">
        <f>IF(SUM(F18:L18)=0,"",SUM(F18:L18))</f>
        <v/>
      </c>
      <c r="U18" s="43">
        <v>11</v>
      </c>
      <c r="V18" s="43">
        <v>102552.16</v>
      </c>
      <c r="W18" s="44" t="str">
        <f>IF(T18="","",T18*V18)</f>
        <v/>
      </c>
      <c r="X18" s="29"/>
    </row>
    <row r="19" s="1" customFormat="1" ht="27.95" customHeight="1" spans="1:27">
      <c r="A19" s="23">
        <v>14</v>
      </c>
      <c r="B19" s="25" t="s">
        <v>379</v>
      </c>
      <c r="C19" s="25" t="s">
        <v>380</v>
      </c>
      <c r="D19" s="25"/>
      <c r="E19" s="25" t="s">
        <v>359</v>
      </c>
      <c r="F19" s="46"/>
      <c r="G19" s="46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 t="str">
        <f>IF(SUM(F19:L19)=0,"",SUM(F19:L19))</f>
        <v/>
      </c>
      <c r="U19" s="43">
        <v>3</v>
      </c>
      <c r="V19" s="43">
        <v>28296.81</v>
      </c>
      <c r="W19" s="44" t="str">
        <f>IF(T19="","",T19*V19)</f>
        <v/>
      </c>
      <c r="X19" s="29"/>
      <c r="Z19" s="48"/>
    </row>
    <row r="20" s="1" customFormat="1" ht="27.95" customHeight="1" spans="1:27">
      <c r="A20" s="23">
        <v>15</v>
      </c>
      <c r="B20" s="25" t="s">
        <v>381</v>
      </c>
      <c r="C20" s="25" t="s">
        <v>382</v>
      </c>
      <c r="D20" s="24"/>
      <c r="E20" s="25" t="s">
        <v>359</v>
      </c>
      <c r="F20" s="46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 t="str">
        <f>IF(SUM(F20:L20)=0,"",SUM(F20:L20))</f>
        <v/>
      </c>
      <c r="U20" s="43">
        <v>2</v>
      </c>
      <c r="V20" s="43">
        <v>50640.63</v>
      </c>
      <c r="W20" s="44" t="str">
        <f>IF(T20="","",T20*V20)</f>
        <v/>
      </c>
      <c r="X20" s="29"/>
    </row>
    <row r="21" s="1" customFormat="1" ht="27.95" customHeight="1" spans="1:27">
      <c r="A21" s="23">
        <v>16</v>
      </c>
      <c r="B21" s="25" t="s">
        <v>383</v>
      </c>
      <c r="C21" s="49" t="s">
        <v>384</v>
      </c>
      <c r="D21" s="50"/>
      <c r="E21" s="25" t="s">
        <v>359</v>
      </c>
      <c r="F21" s="42">
        <v>0.1652</v>
      </c>
      <c r="G21" s="42">
        <v>0.9656</v>
      </c>
      <c r="H21" s="42"/>
      <c r="I21" s="70"/>
      <c r="J21" s="42">
        <v>0.5102</v>
      </c>
      <c r="K21" s="42">
        <v>0.207</v>
      </c>
      <c r="L21" s="42">
        <v>0.0902</v>
      </c>
      <c r="M21" s="42"/>
      <c r="N21" s="42"/>
      <c r="O21" s="42"/>
      <c r="P21" s="42"/>
      <c r="Q21" s="42"/>
      <c r="R21" s="42"/>
      <c r="S21" s="42"/>
      <c r="T21" s="42">
        <f>IF(SUM(F21:M21)=0,"",SUM(F21:M21))</f>
        <v>1.9382</v>
      </c>
      <c r="U21" s="43">
        <v>10</v>
      </c>
      <c r="V21" s="43">
        <v>91241.97</v>
      </c>
      <c r="W21" s="44">
        <f>IF(T21="","",T21*V21)</f>
        <v>176845.186254</v>
      </c>
      <c r="X21" s="29"/>
    </row>
    <row r="22" s="1" customFormat="1" ht="27.95" customHeight="1" spans="1:27">
      <c r="A22" s="23">
        <v>17</v>
      </c>
      <c r="B22" s="25" t="s">
        <v>385</v>
      </c>
      <c r="C22" s="25" t="s">
        <v>386</v>
      </c>
      <c r="D22" s="24"/>
      <c r="E22" s="25" t="s">
        <v>359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 t="str">
        <f>IF(SUM(F22:M22)=0,"",SUM(F22:M22))</f>
        <v/>
      </c>
      <c r="U22" s="43">
        <v>2</v>
      </c>
      <c r="V22" s="43">
        <v>34000.12</v>
      </c>
      <c r="W22" s="44" t="str">
        <f>IF(T22="","",T22*V22)</f>
        <v/>
      </c>
      <c r="X22" s="29"/>
      <c r="AA22" s="48"/>
    </row>
    <row r="23" s="1" customFormat="1" ht="27.95" customHeight="1" spans="1:27">
      <c r="A23" s="23">
        <v>18</v>
      </c>
      <c r="B23" s="25" t="s">
        <v>387</v>
      </c>
      <c r="C23" s="25" t="s">
        <v>388</v>
      </c>
      <c r="D23" s="24"/>
      <c r="E23" s="25" t="s">
        <v>359</v>
      </c>
      <c r="F23" s="42">
        <v>0.6545</v>
      </c>
      <c r="G23" s="42"/>
      <c r="H23" s="42">
        <v>0.4515</v>
      </c>
      <c r="I23" s="70">
        <v>0.4028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>
        <f>IF(SUM(F23:M23)=0,"",SUM(F23:M23))</f>
        <v>1.5088</v>
      </c>
      <c r="U23" s="43">
        <v>3</v>
      </c>
      <c r="V23" s="43">
        <v>98276.25</v>
      </c>
      <c r="W23" s="44">
        <f>IF(T23="","",T23*V23)</f>
        <v>148279.206</v>
      </c>
      <c r="X23" s="29"/>
    </row>
    <row r="24" s="1" customFormat="1" ht="27.95" customHeight="1" spans="1:27">
      <c r="A24" s="23">
        <v>19</v>
      </c>
      <c r="B24" s="25" t="s">
        <v>389</v>
      </c>
      <c r="C24" s="25" t="s">
        <v>390</v>
      </c>
      <c r="D24" s="24"/>
      <c r="E24" s="25" t="s">
        <v>391</v>
      </c>
      <c r="F24" s="42">
        <v>0.2342</v>
      </c>
      <c r="G24" s="42">
        <v>0.382</v>
      </c>
      <c r="H24" s="42">
        <v>0.129</v>
      </c>
      <c r="I24" s="42">
        <v>0.06</v>
      </c>
      <c r="J24" s="42">
        <v>0.2034</v>
      </c>
      <c r="K24" s="42">
        <v>0.0694</v>
      </c>
      <c r="L24" s="42">
        <v>0.0932</v>
      </c>
      <c r="M24" s="42"/>
      <c r="N24" s="42"/>
      <c r="O24" s="42"/>
      <c r="P24" s="42"/>
      <c r="Q24" s="42"/>
      <c r="R24" s="42"/>
      <c r="S24" s="42"/>
      <c r="T24" s="42">
        <f>IF(SUM(F24:M24)=0,"",SUM(F24:M24))</f>
        <v>1.1712</v>
      </c>
      <c r="U24" s="43">
        <v>2</v>
      </c>
      <c r="V24" s="43">
        <v>19703.17</v>
      </c>
      <c r="W24" s="44">
        <f>IF(T24="","",T24*V24)</f>
        <v>23076.352704</v>
      </c>
      <c r="X24" s="29"/>
    </row>
    <row r="25" s="1" customFormat="1" ht="27.95" customHeight="1" spans="1:27">
      <c r="A25" s="23">
        <v>20</v>
      </c>
      <c r="B25" s="25" t="s">
        <v>392</v>
      </c>
      <c r="C25" s="25" t="s">
        <v>393</v>
      </c>
      <c r="D25" s="24"/>
      <c r="E25" s="25" t="s">
        <v>391</v>
      </c>
      <c r="F25" s="42">
        <v>0.2342</v>
      </c>
      <c r="G25" s="42">
        <v>0.382</v>
      </c>
      <c r="H25" s="42">
        <v>0.129</v>
      </c>
      <c r="I25" s="42">
        <v>0.06</v>
      </c>
      <c r="J25" s="42">
        <v>0.2034</v>
      </c>
      <c r="K25" s="42">
        <v>0.0694</v>
      </c>
      <c r="L25" s="42">
        <v>0.0932</v>
      </c>
      <c r="M25" s="42"/>
      <c r="N25" s="42"/>
      <c r="O25" s="42"/>
      <c r="P25" s="42"/>
      <c r="Q25" s="42"/>
      <c r="R25" s="42"/>
      <c r="S25" s="42"/>
      <c r="T25" s="42">
        <f>IF(SUM(F25:M25)=0,"",SUM(F25:M25))</f>
        <v>1.1712</v>
      </c>
      <c r="U25" s="43">
        <v>2</v>
      </c>
      <c r="V25" s="43">
        <v>21330.37</v>
      </c>
      <c r="W25" s="44">
        <f>IF(T25="","",T25*V25)</f>
        <v>24982.129344</v>
      </c>
      <c r="X25" s="29"/>
    </row>
    <row r="26" s="1" customFormat="1" ht="27.95" customHeight="1" spans="1:27">
      <c r="A26" s="23">
        <v>21</v>
      </c>
      <c r="B26" s="25" t="s">
        <v>394</v>
      </c>
      <c r="C26" s="25" t="s">
        <v>395</v>
      </c>
      <c r="D26" s="24"/>
      <c r="E26" s="25" t="s">
        <v>396</v>
      </c>
      <c r="F26" s="51">
        <v>0.04</v>
      </c>
      <c r="G26" s="51">
        <v>0.02</v>
      </c>
      <c r="H26" s="51">
        <v>0.02</v>
      </c>
      <c r="I26" s="51">
        <v>0.02</v>
      </c>
      <c r="J26" s="51">
        <v>0.04</v>
      </c>
      <c r="K26" s="51">
        <v>0.02</v>
      </c>
      <c r="L26" s="51">
        <v>0.02</v>
      </c>
      <c r="M26" s="51">
        <v>0.02</v>
      </c>
      <c r="N26" s="51"/>
      <c r="O26" s="51"/>
      <c r="P26" s="51"/>
      <c r="Q26" s="51"/>
      <c r="R26" s="51"/>
      <c r="S26" s="51"/>
      <c r="T26" s="51">
        <f>IF(SUM(F26:M26)=0,"",SUM(F26:M26))</f>
        <v>0.2</v>
      </c>
      <c r="U26" s="52" t="s">
        <v>397</v>
      </c>
      <c r="V26" s="43">
        <v>45319.32</v>
      </c>
      <c r="W26" s="44">
        <f>IF(T26="","",T26*V26)</f>
        <v>9063.864</v>
      </c>
      <c r="X26" s="29"/>
    </row>
    <row r="27" s="1" customFormat="1" ht="27.95" customHeight="1" spans="1:27">
      <c r="A27" s="23">
        <v>22</v>
      </c>
      <c r="B27" s="25" t="s">
        <v>398</v>
      </c>
      <c r="C27" s="25" t="s">
        <v>399</v>
      </c>
      <c r="D27" s="24"/>
      <c r="E27" s="25" t="s">
        <v>400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 t="str">
        <f>IF(SUM(F27:L27)=0,"",SUM(F27:L27))</f>
        <v/>
      </c>
      <c r="U27" s="43"/>
      <c r="V27" s="43">
        <v>4324.39</v>
      </c>
      <c r="W27" s="44" t="str">
        <f>IF(T27="","",T27*V27)</f>
        <v/>
      </c>
      <c r="X27" s="29"/>
    </row>
    <row r="28" s="1" customFormat="1" ht="27.95" customHeight="1" spans="1:27">
      <c r="A28" s="23">
        <v>23</v>
      </c>
      <c r="B28" s="25" t="s">
        <v>401</v>
      </c>
      <c r="C28" s="25" t="s">
        <v>402</v>
      </c>
      <c r="D28" s="24"/>
      <c r="E28" s="25" t="s">
        <v>400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 t="str">
        <f>IF(SUM(F28:L28)=0,"",SUM(F28:L28))</f>
        <v/>
      </c>
      <c r="U28" s="43"/>
      <c r="V28" s="43">
        <v>5694.95</v>
      </c>
      <c r="W28" s="44" t="str">
        <f>IF(T28="","",T28*V28)</f>
        <v/>
      </c>
      <c r="X28" s="29"/>
    </row>
    <row r="29" s="1" customFormat="1" ht="27.95" customHeight="1" spans="1:27">
      <c r="A29" s="23">
        <v>24</v>
      </c>
      <c r="B29" s="25" t="s">
        <v>403</v>
      </c>
      <c r="C29" s="25" t="s">
        <v>404</v>
      </c>
      <c r="D29" s="24"/>
      <c r="E29" s="25" t="s">
        <v>400</v>
      </c>
      <c r="F29" s="51"/>
      <c r="G29" s="51"/>
      <c r="H29" s="51"/>
      <c r="I29" s="51"/>
      <c r="J29" s="51">
        <v>4</v>
      </c>
      <c r="K29" s="51"/>
      <c r="L29" s="51"/>
      <c r="M29" s="51"/>
      <c r="N29" s="51"/>
      <c r="O29" s="51"/>
      <c r="P29" s="51"/>
      <c r="Q29" s="51"/>
      <c r="R29" s="51"/>
      <c r="S29" s="51"/>
      <c r="T29" s="51">
        <f>IF(SUM(F29:L29)=0,"",SUM(F29:L29))</f>
        <v>4</v>
      </c>
      <c r="U29" s="43"/>
      <c r="V29" s="43">
        <v>5390.34</v>
      </c>
      <c r="W29" s="44">
        <f>IF(T29="","",T29*V29)</f>
        <v>21561.36</v>
      </c>
      <c r="X29" s="29"/>
    </row>
    <row r="30" s="1" customFormat="1" ht="27.95" customHeight="1" spans="1:27">
      <c r="A30" s="23">
        <v>25</v>
      </c>
      <c r="B30" s="25" t="s">
        <v>405</v>
      </c>
      <c r="C30" s="25" t="s">
        <v>406</v>
      </c>
      <c r="D30" s="24"/>
      <c r="E30" s="25" t="s">
        <v>407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 t="str">
        <f>IF(SUM(F30:M30)=0,"",SUM(F30:M30))</f>
        <v/>
      </c>
      <c r="U30" s="43">
        <v>100</v>
      </c>
      <c r="V30" s="43">
        <v>48.36</v>
      </c>
      <c r="W30" s="44" t="str">
        <f>IF(T30="","",T30*V30)</f>
        <v/>
      </c>
      <c r="X30" s="29"/>
    </row>
    <row r="31" s="1" customFormat="1" ht="27.95" customHeight="1" spans="1:27">
      <c r="A31" s="23">
        <v>26</v>
      </c>
      <c r="B31" s="25" t="s">
        <v>408</v>
      </c>
      <c r="C31" s="25" t="s">
        <v>409</v>
      </c>
      <c r="D31" s="25"/>
      <c r="E31" s="25" t="s">
        <v>410</v>
      </c>
      <c r="F31" s="53"/>
      <c r="G31" s="53">
        <v>0.225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>
        <f>IF(SUM(F31:M31)=0,"",SUM(F31:M31))</f>
        <v>0.225</v>
      </c>
      <c r="U31" s="43">
        <v>7</v>
      </c>
      <c r="V31" s="43">
        <v>67754.23</v>
      </c>
      <c r="W31" s="44">
        <f>IF(T31="","",T31*V31)</f>
        <v>15244.70175</v>
      </c>
      <c r="X31" s="29"/>
    </row>
    <row r="32" s="1" customFormat="1" ht="27.95" customHeight="1" spans="1:27">
      <c r="A32" s="23">
        <v>27</v>
      </c>
      <c r="B32" s="25" t="s">
        <v>411</v>
      </c>
      <c r="C32" s="25" t="s">
        <v>412</v>
      </c>
      <c r="D32" s="24"/>
      <c r="E32" s="25" t="s">
        <v>410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 t="str">
        <f>IF(SUM(F32:L32)=0,"",SUM(F32:L32))</f>
        <v/>
      </c>
      <c r="U32" s="43">
        <v>4</v>
      </c>
      <c r="V32" s="43">
        <v>130778.79</v>
      </c>
      <c r="W32" s="44" t="str">
        <f>IF(T32="","",T32*V32)</f>
        <v/>
      </c>
      <c r="X32" s="29"/>
    </row>
    <row r="33" s="1" customFormat="1" ht="27.95" customHeight="1" spans="1:24">
      <c r="A33" s="23">
        <v>28</v>
      </c>
      <c r="B33" s="25" t="s">
        <v>413</v>
      </c>
      <c r="C33" s="25" t="s">
        <v>414</v>
      </c>
      <c r="D33" s="24"/>
      <c r="E33" s="25" t="s">
        <v>410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 t="str">
        <f>IF(SUM(F33:L33)=0,"",SUM(F33:L33))</f>
        <v/>
      </c>
      <c r="U33" s="43">
        <v>0.5</v>
      </c>
      <c r="V33" s="43">
        <v>49773.58</v>
      </c>
      <c r="W33" s="44" t="str">
        <f>IF(T33="","",T33*V33)</f>
        <v/>
      </c>
      <c r="X33" s="29"/>
    </row>
    <row r="34" s="3" customFormat="1" ht="27.95" customHeight="1" spans="1:24">
      <c r="A34" s="23">
        <v>29</v>
      </c>
      <c r="B34" s="25" t="s">
        <v>415</v>
      </c>
      <c r="C34" s="25" t="s">
        <v>416</v>
      </c>
      <c r="D34" s="24"/>
      <c r="E34" s="25" t="s">
        <v>410</v>
      </c>
      <c r="F34" s="54"/>
      <c r="G34" s="54"/>
      <c r="H34" s="53"/>
      <c r="I34" s="53"/>
      <c r="J34" s="53"/>
      <c r="K34" s="53"/>
      <c r="L34" s="54"/>
      <c r="M34" s="53"/>
      <c r="N34" s="53"/>
      <c r="O34" s="53"/>
      <c r="P34" s="53"/>
      <c r="Q34" s="53"/>
      <c r="R34" s="53"/>
      <c r="S34" s="53"/>
      <c r="T34" s="53" t="str">
        <f>IF(SUM(F34:L34)=0,"",SUM(F34:L34))</f>
        <v/>
      </c>
      <c r="U34" s="43">
        <v>0.5</v>
      </c>
      <c r="V34" s="43">
        <v>162263.13</v>
      </c>
      <c r="W34" s="44" t="str">
        <f>IF(T34="","",T34*V34)</f>
        <v/>
      </c>
      <c r="X34" s="55"/>
    </row>
    <row r="35" s="1" customFormat="1" ht="27.95" customHeight="1" spans="1:24">
      <c r="A35" s="23">
        <v>30</v>
      </c>
      <c r="B35" s="25" t="s">
        <v>417</v>
      </c>
      <c r="C35" s="25" t="s">
        <v>418</v>
      </c>
      <c r="D35" s="24"/>
      <c r="E35" s="25" t="s">
        <v>410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 t="str">
        <f>IF(SUM(F35:L35)=0,"",SUM(F35:L35))</f>
        <v/>
      </c>
      <c r="U35" s="56"/>
      <c r="V35" s="43">
        <v>189462.95</v>
      </c>
      <c r="W35" s="44" t="str">
        <f>IF(T35="","",T35*V35)</f>
        <v/>
      </c>
      <c r="X35" s="29"/>
    </row>
    <row r="36" s="1" customFormat="1" ht="27.95" customHeight="1" spans="1:24">
      <c r="A36" s="23">
        <v>31</v>
      </c>
      <c r="B36" s="25" t="s">
        <v>419</v>
      </c>
      <c r="C36" s="25" t="s">
        <v>420</v>
      </c>
      <c r="D36" s="24"/>
      <c r="E36" s="25" t="s">
        <v>410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 t="str">
        <f>IF(SUM(F36:L36)=0,"",SUM(F36:L36))</f>
        <v/>
      </c>
      <c r="U36" s="43">
        <v>0.5</v>
      </c>
      <c r="V36" s="43">
        <v>104995.04</v>
      </c>
      <c r="W36" s="44" t="str">
        <f>IF(T36="","",T36*V36)</f>
        <v/>
      </c>
      <c r="X36" s="29"/>
    </row>
    <row r="37" s="1" customFormat="1" ht="27.95" customHeight="1" spans="1:24">
      <c r="A37" s="57"/>
      <c r="B37" s="58"/>
      <c r="C37" s="58" t="s">
        <v>29</v>
      </c>
      <c r="D37" s="58"/>
      <c r="E37" s="58"/>
      <c r="F37" s="58"/>
      <c r="G37" s="53"/>
      <c r="H37" s="58"/>
      <c r="I37" s="58"/>
      <c r="J37" s="58"/>
      <c r="K37" s="58"/>
      <c r="L37" s="58"/>
      <c r="M37" s="59"/>
      <c r="N37" s="59"/>
      <c r="O37" s="59"/>
      <c r="P37" s="59"/>
      <c r="Q37" s="59"/>
      <c r="R37" s="59"/>
      <c r="S37" s="59"/>
      <c r="T37" s="59"/>
      <c r="U37" s="60"/>
      <c r="V37" s="60"/>
      <c r="W37" s="61">
        <f>SUM(W6:W36)</f>
        <v>769603.465827</v>
      </c>
      <c r="X37" s="62"/>
    </row>
    <row r="38" spans="1:24">
      <c r="F38" s="53"/>
      <c r="G38" s="58"/>
    </row>
    <row r="39" spans="1:24">
      <c r="F39" s="58"/>
    </row>
  </sheetData>
  <mergeCells count="36">
    <mergeCell ref="C1:D1"/>
    <mergeCell ref="C2:D2"/>
    <mergeCell ref="C3:D3"/>
    <mergeCell ref="C4:D4"/>
    <mergeCell ref="C5:D5"/>
    <mergeCell ref="C6:D6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1:A2"/>
    <mergeCell ref="B1:B2"/>
    <mergeCell ref="C7:C10"/>
    <mergeCell ref="C11:C14"/>
    <mergeCell ref="C15:C18"/>
    <mergeCell ref="E1:E2"/>
    <mergeCell ref="T1:T2"/>
    <mergeCell ref="U1:U2"/>
    <mergeCell ref="V1:V2"/>
    <mergeCell ref="W1:W2"/>
    <mergeCell ref="X1:X2"/>
  </mergeCells>
  <printOptions horizontalCentered="1"/>
  <pageMargins left="0.45" right="0.45" top="0.95" bottom="0.56" header="0.61" footer="0.35"/>
  <pageSetup paperSize="9" scale="70" orientation="portrait" horizontalDpi="600" verticalDpi="600"/>
  <headerFooter alignWithMargins="0">
    <oddHeader>&amp;C&amp;"黑体,常规"&amp;20 08年～13年建的道路设施养护工程--包件一（谈判）</oddHeader>
    <oddFooter>&amp;C共&amp;N页，第&amp;P页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"/>
  <sheetViews>
    <sheetView zoomScale="85" zoomScaleNormal="85" zoomScaleSheetLayoutView="50" workbookViewId="0">
      <pane xSplit="5" ySplit="4" topLeftCell="J19" activePane="bottomRight" state="frozen"/>
      <selection/>
      <selection pane="topRight"/>
      <selection pane="bottomLeft"/>
      <selection pane="bottomRight" activeCell="L39" sqref="L39"/>
    </sheetView>
  </sheetViews>
  <sheetFormatPr defaultColWidth="9" defaultRowHeight="14.25"/>
  <cols>
    <col min="1" max="1" width="5.75" style="4" customWidth="1"/>
    <col min="2" max="2" width="9" style="4"/>
    <col min="3" max="3" width="15.125" style="5" customWidth="1"/>
    <col min="4" max="4" width="10.75" style="5" customWidth="1"/>
    <col min="5" max="5" width="9.25" style="5" customWidth="1"/>
    <col min="6" max="6" width="14.125" style="5" customWidth="1"/>
    <col min="7" max="8" width="13.125" style="5" customWidth="1"/>
    <col min="9" max="9" width="16.375" style="5" customWidth="1"/>
    <col min="10" max="10" width="14.875" style="5" customWidth="1"/>
    <col min="11" max="11" width="14.375" style="5" customWidth="1"/>
    <col min="12" max="12" width="15.125" style="5" customWidth="1"/>
    <col min="13" max="13" width="13.5" style="5" customWidth="1"/>
    <col min="14" max="14" width="12.25" style="5" customWidth="1"/>
    <col min="15" max="15" width="13.5" style="5" customWidth="1"/>
    <col min="16" max="19" width="13.5" style="5" hidden="1" customWidth="1"/>
    <col min="20" max="20" width="13.5" style="5" customWidth="1"/>
    <col min="21" max="21" width="11.125" style="5" customWidth="1"/>
    <col min="22" max="23" width="17.875" style="5" customWidth="1"/>
    <col min="24" max="24" width="27.375" style="5" customWidth="1"/>
    <col min="25" max="26" width="9" style="4"/>
    <col min="27" max="27" width="12" style="4" customWidth="1"/>
    <col min="28" max="16384" width="9" style="4"/>
  </cols>
  <sheetData>
    <row r="1" ht="23.25" customHeight="1" spans="1:24">
      <c r="A1" s="6" t="s">
        <v>1</v>
      </c>
      <c r="B1" s="7" t="s">
        <v>320</v>
      </c>
      <c r="C1" s="8" t="s">
        <v>321</v>
      </c>
      <c r="D1" s="8"/>
      <c r="E1" s="8" t="s">
        <v>322</v>
      </c>
      <c r="F1" s="9" t="s">
        <v>275</v>
      </c>
      <c r="G1" s="10" t="s">
        <v>79</v>
      </c>
      <c r="H1" s="9" t="s">
        <v>69</v>
      </c>
      <c r="I1" s="9" t="s">
        <v>73</v>
      </c>
      <c r="J1" s="9" t="s">
        <v>65</v>
      </c>
      <c r="K1" s="9" t="s">
        <v>85</v>
      </c>
      <c r="L1" s="9" t="s">
        <v>77</v>
      </c>
      <c r="M1" s="9" t="s">
        <v>71</v>
      </c>
      <c r="N1" s="9" t="s">
        <v>67</v>
      </c>
      <c r="O1" s="11" t="s">
        <v>23</v>
      </c>
      <c r="P1" s="11"/>
      <c r="Q1" s="11"/>
      <c r="R1" s="11"/>
      <c r="S1" s="11"/>
      <c r="T1" s="12" t="s">
        <v>324</v>
      </c>
      <c r="U1" s="13" t="s">
        <v>325</v>
      </c>
      <c r="V1" s="13" t="s">
        <v>326</v>
      </c>
      <c r="W1" s="13" t="s">
        <v>327</v>
      </c>
      <c r="X1" s="14" t="s">
        <v>35</v>
      </c>
    </row>
    <row r="2" s="1" customFormat="1" ht="30" customHeight="1" spans="1:24">
      <c r="A2" s="15"/>
      <c r="B2" s="16"/>
      <c r="C2" s="17" t="s">
        <v>328</v>
      </c>
      <c r="D2" s="17"/>
      <c r="E2" s="17"/>
      <c r="F2" s="18" t="s">
        <v>427</v>
      </c>
      <c r="G2" s="18" t="s">
        <v>427</v>
      </c>
      <c r="H2" s="18" t="s">
        <v>428</v>
      </c>
      <c r="I2" s="18" t="s">
        <v>429</v>
      </c>
      <c r="J2" s="18" t="s">
        <v>430</v>
      </c>
      <c r="K2" s="18" t="s">
        <v>26</v>
      </c>
      <c r="L2" s="18" t="s">
        <v>431</v>
      </c>
      <c r="M2" s="18" t="s">
        <v>331</v>
      </c>
      <c r="N2" s="18" t="s">
        <v>432</v>
      </c>
      <c r="O2" s="18" t="s">
        <v>433</v>
      </c>
      <c r="P2" s="19"/>
      <c r="Q2" s="19"/>
      <c r="R2" s="19"/>
      <c r="S2" s="19"/>
      <c r="T2" s="20"/>
      <c r="U2" s="21"/>
      <c r="V2" s="21"/>
      <c r="W2" s="21"/>
      <c r="X2" s="22"/>
    </row>
    <row r="3" s="1" customFormat="1" ht="18" customHeight="1" spans="1:24">
      <c r="A3" s="23"/>
      <c r="B3" s="24"/>
      <c r="C3" s="25" t="s">
        <v>348</v>
      </c>
      <c r="D3" s="25"/>
      <c r="E3" s="25"/>
      <c r="F3" s="26">
        <v>150</v>
      </c>
      <c r="G3" s="26">
        <v>80</v>
      </c>
      <c r="H3" s="26">
        <v>1400</v>
      </c>
      <c r="I3" s="26">
        <v>445</v>
      </c>
      <c r="J3" s="26">
        <v>1174</v>
      </c>
      <c r="K3" s="26">
        <v>780</v>
      </c>
      <c r="L3" s="26">
        <v>390</v>
      </c>
      <c r="M3" s="27">
        <v>1450</v>
      </c>
      <c r="N3" s="27">
        <v>1400</v>
      </c>
      <c r="O3" s="27">
        <v>3300</v>
      </c>
      <c r="P3" s="27"/>
      <c r="Q3" s="27"/>
      <c r="R3" s="27"/>
      <c r="S3" s="27"/>
      <c r="T3" s="27">
        <f>IF(SUM(F3:O3)=0,"",SUM(F3:O3))</f>
        <v>10569</v>
      </c>
      <c r="U3" s="28"/>
      <c r="V3" s="28"/>
      <c r="W3" s="28"/>
      <c r="X3" s="29"/>
    </row>
    <row r="4" s="2" customFormat="1" ht="18" customHeight="1" spans="1:24">
      <c r="A4" s="30"/>
      <c r="B4" s="31"/>
      <c r="C4" s="32" t="s">
        <v>349</v>
      </c>
      <c r="D4" s="32"/>
      <c r="E4" s="32"/>
      <c r="F4" s="33">
        <v>15</v>
      </c>
      <c r="G4" s="33">
        <v>15</v>
      </c>
      <c r="H4" s="34" t="s">
        <v>434</v>
      </c>
      <c r="I4" s="35">
        <v>9</v>
      </c>
      <c r="J4" s="35">
        <v>12</v>
      </c>
      <c r="K4" s="35">
        <v>15</v>
      </c>
      <c r="L4" s="33">
        <v>7</v>
      </c>
      <c r="M4" s="33">
        <v>12</v>
      </c>
      <c r="N4" s="34" t="s">
        <v>435</v>
      </c>
      <c r="O4" s="33">
        <v>17</v>
      </c>
      <c r="P4" s="34"/>
      <c r="Q4" s="34"/>
      <c r="R4" s="34"/>
      <c r="S4" s="34"/>
      <c r="T4" s="34"/>
      <c r="U4" s="36"/>
      <c r="V4" s="36"/>
      <c r="W4" s="36"/>
      <c r="X4" s="37"/>
    </row>
    <row r="5" s="2" customFormat="1" ht="18" customHeight="1" spans="1:24">
      <c r="A5" s="30"/>
      <c r="B5" s="31"/>
      <c r="C5" s="38" t="s">
        <v>356</v>
      </c>
      <c r="D5" s="39"/>
      <c r="E5" s="32"/>
      <c r="F5" s="34"/>
      <c r="G5" s="40"/>
      <c r="H5" s="35"/>
      <c r="I5" s="35"/>
      <c r="J5" s="35"/>
      <c r="K5" s="35"/>
      <c r="L5" s="34"/>
      <c r="M5" s="34"/>
      <c r="N5" s="34"/>
      <c r="O5" s="34"/>
      <c r="P5" s="34"/>
      <c r="Q5" s="34"/>
      <c r="R5" s="34"/>
      <c r="S5" s="34"/>
      <c r="T5" s="34"/>
      <c r="U5" s="36"/>
      <c r="V5" s="36"/>
      <c r="W5" s="36"/>
      <c r="X5" s="37"/>
    </row>
    <row r="6" s="1" customFormat="1" ht="27.95" customHeight="1" spans="1:24">
      <c r="A6" s="23">
        <v>1</v>
      </c>
      <c r="B6" s="25" t="s">
        <v>357</v>
      </c>
      <c r="C6" s="25" t="s">
        <v>358</v>
      </c>
      <c r="D6" s="24"/>
      <c r="E6" s="25" t="s">
        <v>359</v>
      </c>
      <c r="F6" s="40"/>
      <c r="G6" s="41"/>
      <c r="H6" s="41"/>
      <c r="I6" s="41"/>
      <c r="J6" s="41"/>
      <c r="K6" s="41"/>
      <c r="L6" s="41"/>
      <c r="M6" s="42"/>
      <c r="N6" s="42"/>
      <c r="O6" s="42"/>
      <c r="P6" s="42"/>
      <c r="Q6" s="42"/>
      <c r="R6" s="42"/>
      <c r="S6" s="42"/>
      <c r="T6" s="42" t="str">
        <f>IF(SUM(F6:L6)=0,"",SUM(F6:L6))</f>
        <v/>
      </c>
      <c r="U6" s="43">
        <v>0.5</v>
      </c>
      <c r="V6" s="43">
        <v>39160.4</v>
      </c>
      <c r="W6" s="44" t="str">
        <f>IF(T6="","",T6*V6)</f>
        <v/>
      </c>
      <c r="X6" s="29"/>
    </row>
    <row r="7" s="1" customFormat="1" ht="27.95" customHeight="1" spans="1:24">
      <c r="A7" s="23">
        <v>2</v>
      </c>
      <c r="B7" s="25" t="s">
        <v>360</v>
      </c>
      <c r="C7" s="45" t="s">
        <v>361</v>
      </c>
      <c r="D7" s="25" t="s">
        <v>362</v>
      </c>
      <c r="E7" s="25" t="s">
        <v>359</v>
      </c>
      <c r="F7" s="41"/>
      <c r="G7" s="41"/>
      <c r="H7" s="46"/>
      <c r="I7" s="46"/>
      <c r="J7" s="46"/>
      <c r="K7" s="46"/>
      <c r="L7" s="46"/>
      <c r="M7" s="42"/>
      <c r="N7" s="42"/>
      <c r="O7" s="42"/>
      <c r="P7" s="42"/>
      <c r="Q7" s="42"/>
      <c r="R7" s="42"/>
      <c r="S7" s="42"/>
      <c r="T7" s="42" t="str">
        <f>IF(SUM(F7:L7)=0,"",SUM(F7:L7))</f>
        <v/>
      </c>
      <c r="U7" s="43">
        <v>3</v>
      </c>
      <c r="V7" s="43">
        <v>35601.55</v>
      </c>
      <c r="W7" s="44" t="str">
        <f>IF(T7="","",T7*V7)</f>
        <v/>
      </c>
      <c r="X7" s="29"/>
    </row>
    <row r="8" s="1" customFormat="1" ht="27.95" customHeight="1" spans="1:24">
      <c r="A8" s="23">
        <v>3</v>
      </c>
      <c r="B8" s="25" t="s">
        <v>363</v>
      </c>
      <c r="C8" s="25"/>
      <c r="D8" s="25" t="s">
        <v>364</v>
      </c>
      <c r="E8" s="25" t="s">
        <v>359</v>
      </c>
      <c r="F8" s="41"/>
      <c r="G8" s="46"/>
      <c r="H8" s="46"/>
      <c r="I8" s="46"/>
      <c r="J8" s="46"/>
      <c r="K8" s="46"/>
      <c r="L8" s="46"/>
      <c r="M8" s="42"/>
      <c r="N8" s="42"/>
      <c r="O8" s="42"/>
      <c r="P8" s="42"/>
      <c r="Q8" s="42"/>
      <c r="R8" s="42"/>
      <c r="S8" s="42"/>
      <c r="T8" s="42" t="str">
        <f>IF(SUM(F8:L8)=0,"",SUM(F8:L8))</f>
        <v/>
      </c>
      <c r="U8" s="43">
        <v>4</v>
      </c>
      <c r="V8" s="43">
        <v>48009.26</v>
      </c>
      <c r="W8" s="44" t="str">
        <f>IF(T8="","",T8*V8)</f>
        <v/>
      </c>
      <c r="X8" s="29"/>
    </row>
    <row r="9" s="1" customFormat="1" ht="27.95" customHeight="1" spans="1:24">
      <c r="A9" s="23">
        <v>4</v>
      </c>
      <c r="B9" s="25" t="s">
        <v>365</v>
      </c>
      <c r="C9" s="25"/>
      <c r="D9" s="25" t="s">
        <v>366</v>
      </c>
      <c r="E9" s="25" t="s">
        <v>359</v>
      </c>
      <c r="F9" s="46"/>
      <c r="G9" s="46"/>
      <c r="H9" s="46"/>
      <c r="I9" s="46"/>
      <c r="J9" s="46"/>
      <c r="K9" s="46"/>
      <c r="L9" s="46"/>
      <c r="M9" s="42"/>
      <c r="N9" s="42"/>
      <c r="O9" s="42"/>
      <c r="P9" s="42"/>
      <c r="Q9" s="42"/>
      <c r="R9" s="42"/>
      <c r="S9" s="42"/>
      <c r="T9" s="42" t="str">
        <f>IF(SUM(F9:L9)=0,"",SUM(F9:L9))</f>
        <v/>
      </c>
      <c r="U9" s="43">
        <v>6</v>
      </c>
      <c r="V9" s="43">
        <v>72500.39</v>
      </c>
      <c r="W9" s="44" t="str">
        <f>IF(T9="","",T9*V9)</f>
        <v/>
      </c>
      <c r="X9" s="29"/>
    </row>
    <row r="10" s="1" customFormat="1" ht="27.95" customHeight="1" spans="1:24">
      <c r="A10" s="23">
        <v>5</v>
      </c>
      <c r="B10" s="25" t="s">
        <v>367</v>
      </c>
      <c r="C10" s="25"/>
      <c r="D10" s="25" t="s">
        <v>368</v>
      </c>
      <c r="E10" s="25" t="s">
        <v>359</v>
      </c>
      <c r="F10" s="46"/>
      <c r="G10" s="46"/>
      <c r="H10" s="46"/>
      <c r="I10" s="46"/>
      <c r="J10" s="46"/>
      <c r="K10" s="46"/>
      <c r="L10" s="46"/>
      <c r="M10" s="42"/>
      <c r="N10" s="42"/>
      <c r="O10" s="42"/>
      <c r="P10" s="42"/>
      <c r="Q10" s="42"/>
      <c r="R10" s="42"/>
      <c r="S10" s="42"/>
      <c r="T10" s="42" t="str">
        <f>IF(SUM(F10:L10)=0,"",SUM(F10:L10))</f>
        <v/>
      </c>
      <c r="U10" s="43">
        <v>9</v>
      </c>
      <c r="V10" s="43">
        <v>109074.9</v>
      </c>
      <c r="W10" s="44" t="str">
        <f>IF(T10="","",T10*V10)</f>
        <v/>
      </c>
      <c r="X10" s="29"/>
    </row>
    <row r="11" s="1" customFormat="1" ht="27.95" customHeight="1" spans="1:24">
      <c r="A11" s="23">
        <v>6</v>
      </c>
      <c r="B11" s="25" t="s">
        <v>369</v>
      </c>
      <c r="C11" s="45" t="s">
        <v>370</v>
      </c>
      <c r="D11" s="25" t="s">
        <v>362</v>
      </c>
      <c r="E11" s="25" t="s">
        <v>359</v>
      </c>
      <c r="F11" s="46"/>
      <c r="G11" s="46"/>
      <c r="H11" s="46"/>
      <c r="I11" s="46"/>
      <c r="J11" s="46"/>
      <c r="K11" s="46"/>
      <c r="L11" s="46"/>
      <c r="M11" s="42"/>
      <c r="N11" s="42"/>
      <c r="O11" s="42"/>
      <c r="P11" s="42"/>
      <c r="Q11" s="42"/>
      <c r="R11" s="42"/>
      <c r="S11" s="42"/>
      <c r="T11" s="42" t="str">
        <f>IF(SUM(F11:L11)=0,"",SUM(F11:L11))</f>
        <v/>
      </c>
      <c r="U11" s="43">
        <v>4</v>
      </c>
      <c r="V11" s="43">
        <v>47322.1</v>
      </c>
      <c r="W11" s="44" t="str">
        <f>IF(T11="","",T11*V11)</f>
        <v/>
      </c>
      <c r="X11" s="29"/>
    </row>
    <row r="12" s="1" customFormat="1" ht="27.95" customHeight="1" spans="1:24">
      <c r="A12" s="23">
        <v>7</v>
      </c>
      <c r="B12" s="25" t="s">
        <v>371</v>
      </c>
      <c r="C12" s="25"/>
      <c r="D12" s="25" t="s">
        <v>364</v>
      </c>
      <c r="E12" s="25" t="s">
        <v>359</v>
      </c>
      <c r="F12" s="46"/>
      <c r="G12" s="46"/>
      <c r="H12" s="46"/>
      <c r="I12" s="46"/>
      <c r="J12" s="46"/>
      <c r="K12" s="46"/>
      <c r="L12" s="46"/>
      <c r="M12" s="42"/>
      <c r="N12" s="42"/>
      <c r="O12" s="42"/>
      <c r="P12" s="42"/>
      <c r="Q12" s="42"/>
      <c r="R12" s="42"/>
      <c r="S12" s="42"/>
      <c r="T12" s="42" t="str">
        <f>IF(SUM(F12:L12)=0,"",SUM(F12:L12))</f>
        <v/>
      </c>
      <c r="U12" s="43">
        <v>5</v>
      </c>
      <c r="V12" s="43">
        <v>59652.83</v>
      </c>
      <c r="W12" s="44" t="str">
        <f>IF(T12="","",T12*V12)</f>
        <v/>
      </c>
      <c r="X12" s="29"/>
    </row>
    <row r="13" s="1" customFormat="1" ht="27.95" customHeight="1" spans="1:24">
      <c r="A13" s="23">
        <v>8</v>
      </c>
      <c r="B13" s="25" t="s">
        <v>372</v>
      </c>
      <c r="C13" s="25"/>
      <c r="D13" s="25" t="s">
        <v>366</v>
      </c>
      <c r="E13" s="25" t="s">
        <v>359</v>
      </c>
      <c r="F13" s="46"/>
      <c r="G13" s="46"/>
      <c r="H13" s="46"/>
      <c r="I13" s="46"/>
      <c r="J13" s="46"/>
      <c r="K13" s="46"/>
      <c r="L13" s="46"/>
      <c r="M13" s="42"/>
      <c r="N13" s="42"/>
      <c r="O13" s="42"/>
      <c r="P13" s="42"/>
      <c r="Q13" s="42"/>
      <c r="R13" s="42"/>
      <c r="S13" s="42"/>
      <c r="T13" s="42" t="str">
        <f>IF(SUM(F13:L13)=0,"",SUM(F13:L13))</f>
        <v/>
      </c>
      <c r="U13" s="43">
        <v>7</v>
      </c>
      <c r="V13" s="43">
        <v>84028.44</v>
      </c>
      <c r="W13" s="44" t="str">
        <f>IF(T13="","",T13*V13)</f>
        <v/>
      </c>
      <c r="X13" s="29"/>
    </row>
    <row r="14" s="1" customFormat="1" ht="27.95" customHeight="1" spans="1:24">
      <c r="A14" s="23">
        <v>9</v>
      </c>
      <c r="B14" s="25" t="s">
        <v>373</v>
      </c>
      <c r="C14" s="25"/>
      <c r="D14" s="25" t="s">
        <v>368</v>
      </c>
      <c r="E14" s="25" t="s">
        <v>359</v>
      </c>
      <c r="F14" s="46"/>
      <c r="G14" s="46"/>
      <c r="H14" s="46"/>
      <c r="I14" s="46"/>
      <c r="J14" s="46"/>
      <c r="K14" s="46"/>
      <c r="L14" s="46"/>
      <c r="M14" s="42"/>
      <c r="N14" s="42"/>
      <c r="O14" s="42"/>
      <c r="P14" s="42"/>
      <c r="Q14" s="42"/>
      <c r="R14" s="42"/>
      <c r="S14" s="42"/>
      <c r="T14" s="42" t="str">
        <f>IF(SUM(F14:L14)=0,"",SUM(F14:L14))</f>
        <v/>
      </c>
      <c r="U14" s="43">
        <v>10</v>
      </c>
      <c r="V14" s="43">
        <v>120448.92</v>
      </c>
      <c r="W14" s="44" t="str">
        <f>IF(T14="","",T14*V14)</f>
        <v/>
      </c>
      <c r="X14" s="29"/>
    </row>
    <row r="15" s="1" customFormat="1" ht="27.95" customHeight="1" spans="1:24">
      <c r="A15" s="23">
        <v>10</v>
      </c>
      <c r="B15" s="25" t="s">
        <v>374</v>
      </c>
      <c r="C15" s="45" t="s">
        <v>375</v>
      </c>
      <c r="D15" s="25" t="s">
        <v>362</v>
      </c>
      <c r="E15" s="25" t="s">
        <v>359</v>
      </c>
      <c r="F15" s="46"/>
      <c r="G15" s="46"/>
      <c r="H15" s="46">
        <v>1.26</v>
      </c>
      <c r="I15" s="46"/>
      <c r="J15" s="46">
        <v>1.4088</v>
      </c>
      <c r="K15" s="46"/>
      <c r="L15" s="46">
        <v>0.273</v>
      </c>
      <c r="M15" s="42">
        <v>1.74</v>
      </c>
      <c r="N15" s="42"/>
      <c r="O15" s="42"/>
      <c r="P15" s="42"/>
      <c r="Q15" s="42"/>
      <c r="R15" s="42"/>
      <c r="S15" s="42"/>
      <c r="T15" s="42">
        <f>IF(SUM(F15:N15)=0,"",SUM(F15:O15))</f>
        <v>4.6818</v>
      </c>
      <c r="U15" s="43">
        <v>5</v>
      </c>
      <c r="V15" s="43">
        <v>46205.85</v>
      </c>
      <c r="W15" s="44">
        <f>IF(T15="","",T15*V15)</f>
        <v>216326.54853</v>
      </c>
      <c r="X15" s="29"/>
    </row>
    <row r="16" s="1" customFormat="1" ht="27.95" customHeight="1" spans="1:24">
      <c r="A16" s="23">
        <v>11</v>
      </c>
      <c r="B16" s="25" t="s">
        <v>376</v>
      </c>
      <c r="C16" s="25"/>
      <c r="D16" s="25" t="s">
        <v>364</v>
      </c>
      <c r="E16" s="25" t="s">
        <v>359</v>
      </c>
      <c r="F16" s="46">
        <v>0.225</v>
      </c>
      <c r="G16" s="46">
        <v>0.12</v>
      </c>
      <c r="H16" s="46"/>
      <c r="I16" s="46">
        <v>0.4005</v>
      </c>
      <c r="J16" s="46"/>
      <c r="K16" s="46">
        <v>1.117</v>
      </c>
      <c r="L16" s="46"/>
      <c r="M16" s="42"/>
      <c r="N16" s="42">
        <v>1.7811</v>
      </c>
      <c r="O16" s="42"/>
      <c r="P16" s="42"/>
      <c r="Q16" s="42"/>
      <c r="R16" s="42"/>
      <c r="S16" s="42"/>
      <c r="T16" s="42">
        <f>IF(SUM(F16:N16)=0,"",SUM(F16:O16))</f>
        <v>3.6436</v>
      </c>
      <c r="U16" s="43">
        <v>6</v>
      </c>
      <c r="V16" s="43">
        <v>55583.25</v>
      </c>
      <c r="W16" s="44">
        <f>IF(T16="","",T16*V16)</f>
        <v>202523.1297</v>
      </c>
      <c r="X16" s="29"/>
    </row>
    <row r="17" s="1" customFormat="1" ht="27.95" customHeight="1" spans="1:27">
      <c r="A17" s="23">
        <v>12</v>
      </c>
      <c r="B17" s="25" t="s">
        <v>377</v>
      </c>
      <c r="C17" s="25"/>
      <c r="D17" s="25" t="s">
        <v>366</v>
      </c>
      <c r="E17" s="25" t="s">
        <v>359</v>
      </c>
      <c r="F17" s="46"/>
      <c r="G17" s="46"/>
      <c r="H17" s="46"/>
      <c r="I17" s="46"/>
      <c r="J17" s="46"/>
      <c r="K17" s="46"/>
      <c r="L17" s="46"/>
      <c r="M17" s="42"/>
      <c r="N17" s="42"/>
      <c r="O17" s="42"/>
      <c r="P17" s="42"/>
      <c r="Q17" s="42"/>
      <c r="R17" s="42"/>
      <c r="S17" s="42"/>
      <c r="T17" s="42" t="str">
        <f>IF(SUM(F17:L17)=0,"",SUM(F17:L17))</f>
        <v/>
      </c>
      <c r="U17" s="43">
        <v>8</v>
      </c>
      <c r="V17" s="43">
        <v>74399.67</v>
      </c>
      <c r="W17" s="44" t="str">
        <f>IF(T17="","",T17*V17)</f>
        <v/>
      </c>
      <c r="X17" s="29"/>
      <c r="AA17" s="47"/>
    </row>
    <row r="18" s="1" customFormat="1" ht="27.95" customHeight="1" spans="1:27">
      <c r="A18" s="23">
        <v>13</v>
      </c>
      <c r="B18" s="25" t="s">
        <v>378</v>
      </c>
      <c r="C18" s="25"/>
      <c r="D18" s="25" t="s">
        <v>368</v>
      </c>
      <c r="E18" s="25" t="s">
        <v>359</v>
      </c>
      <c r="F18" s="46"/>
      <c r="G18" s="46"/>
      <c r="H18" s="46"/>
      <c r="I18" s="46"/>
      <c r="J18" s="46"/>
      <c r="K18" s="46"/>
      <c r="L18" s="46"/>
      <c r="M18" s="42"/>
      <c r="N18" s="42"/>
      <c r="O18" s="42"/>
      <c r="P18" s="42"/>
      <c r="Q18" s="42"/>
      <c r="R18" s="42"/>
      <c r="S18" s="42"/>
      <c r="T18" s="42" t="str">
        <f>IF(SUM(F18:L18)=0,"",SUM(F18:L18))</f>
        <v/>
      </c>
      <c r="U18" s="43">
        <v>11</v>
      </c>
      <c r="V18" s="43">
        <v>102552.16</v>
      </c>
      <c r="W18" s="44" t="str">
        <f>IF(T18="","",T18*V18)</f>
        <v/>
      </c>
      <c r="X18" s="29"/>
    </row>
    <row r="19" s="1" customFormat="1" ht="27.95" customHeight="1" spans="1:27">
      <c r="A19" s="23">
        <v>14</v>
      </c>
      <c r="B19" s="25" t="s">
        <v>379</v>
      </c>
      <c r="C19" s="25" t="s">
        <v>380</v>
      </c>
      <c r="D19" s="25"/>
      <c r="E19" s="25" t="s">
        <v>359</v>
      </c>
      <c r="F19" s="46"/>
      <c r="G19" s="46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 t="str">
        <f>IF(SUM(F19:L19)=0,"",SUM(F19:L19))</f>
        <v/>
      </c>
      <c r="U19" s="43">
        <v>3</v>
      </c>
      <c r="V19" s="43">
        <v>28296.81</v>
      </c>
      <c r="W19" s="44" t="str">
        <f>IF(T19="","",T19*V19)</f>
        <v/>
      </c>
      <c r="X19" s="29"/>
      <c r="Z19" s="48"/>
    </row>
    <row r="20" s="1" customFormat="1" ht="27.95" customHeight="1" spans="1:27">
      <c r="A20" s="23">
        <v>15</v>
      </c>
      <c r="B20" s="25" t="s">
        <v>381</v>
      </c>
      <c r="C20" s="25" t="s">
        <v>382</v>
      </c>
      <c r="D20" s="24"/>
      <c r="E20" s="25" t="s">
        <v>359</v>
      </c>
      <c r="F20" s="46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 t="str">
        <f>IF(SUM(F20:L20)=0,"",SUM(F20:L20))</f>
        <v/>
      </c>
      <c r="U20" s="43">
        <v>2</v>
      </c>
      <c r="V20" s="43">
        <v>50640.63</v>
      </c>
      <c r="W20" s="44" t="str">
        <f>IF(T20="","",T20*V20)</f>
        <v/>
      </c>
      <c r="X20" s="29"/>
    </row>
    <row r="21" s="1" customFormat="1" ht="27.95" customHeight="1" spans="1:27">
      <c r="A21" s="23">
        <v>16</v>
      </c>
      <c r="B21" s="25" t="s">
        <v>383</v>
      </c>
      <c r="C21" s="49" t="s">
        <v>384</v>
      </c>
      <c r="D21" s="50"/>
      <c r="E21" s="25" t="s">
        <v>359</v>
      </c>
      <c r="F21" s="42">
        <v>0.09</v>
      </c>
      <c r="G21" s="42">
        <v>0.048</v>
      </c>
      <c r="H21" s="42">
        <v>0.74</v>
      </c>
      <c r="I21" s="42">
        <v>0.2225</v>
      </c>
      <c r="J21" s="42">
        <v>0.7044</v>
      </c>
      <c r="K21" s="42">
        <v>0.602</v>
      </c>
      <c r="L21" s="42">
        <v>0.1711</v>
      </c>
      <c r="M21" s="42">
        <v>0.6838</v>
      </c>
      <c r="N21" s="42">
        <v>0.66</v>
      </c>
      <c r="O21" s="42"/>
      <c r="P21" s="42"/>
      <c r="Q21" s="42"/>
      <c r="R21" s="42"/>
      <c r="S21" s="42"/>
      <c r="T21" s="42">
        <f>IF(SUM(F21:N21)=0,"",SUM(F21:N21))</f>
        <v>3.9218</v>
      </c>
      <c r="U21" s="43">
        <v>10</v>
      </c>
      <c r="V21" s="43">
        <v>91241.97</v>
      </c>
      <c r="W21" s="44">
        <f>IF(T21="","",T21*V21)</f>
        <v>357832.757946</v>
      </c>
      <c r="X21" s="29"/>
    </row>
    <row r="22" s="1" customFormat="1" ht="27.95" customHeight="1" spans="1:27">
      <c r="A22" s="23">
        <v>17</v>
      </c>
      <c r="B22" s="25" t="s">
        <v>385</v>
      </c>
      <c r="C22" s="25" t="s">
        <v>386</v>
      </c>
      <c r="D22" s="24"/>
      <c r="E22" s="25" t="s">
        <v>359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 t="str">
        <f>IF(SUM(F22:N22)=0,"",SUM(F22:N22))</f>
        <v/>
      </c>
      <c r="U22" s="43">
        <v>2</v>
      </c>
      <c r="V22" s="43">
        <v>34000.12</v>
      </c>
      <c r="W22" s="44" t="str">
        <f>IF(T22="","",T22*V22)</f>
        <v/>
      </c>
      <c r="X22" s="29"/>
      <c r="AA22" s="48"/>
    </row>
    <row r="23" s="1" customFormat="1" ht="27.95" customHeight="1" spans="1:27">
      <c r="A23" s="23">
        <v>18</v>
      </c>
      <c r="B23" s="25" t="s">
        <v>387</v>
      </c>
      <c r="C23" s="25" t="s">
        <v>388</v>
      </c>
      <c r="D23" s="24"/>
      <c r="E23" s="25" t="s">
        <v>359</v>
      </c>
      <c r="F23" s="42"/>
      <c r="G23" s="42"/>
      <c r="H23" s="42"/>
      <c r="I23" s="42"/>
      <c r="J23" s="42"/>
      <c r="K23" s="42"/>
      <c r="L23" s="42"/>
      <c r="M23" s="42"/>
      <c r="N23" s="42"/>
      <c r="O23" s="42">
        <v>2.344</v>
      </c>
      <c r="P23" s="42"/>
      <c r="Q23" s="42"/>
      <c r="R23" s="42"/>
      <c r="S23" s="42"/>
      <c r="T23" s="42">
        <v>2.344</v>
      </c>
      <c r="U23" s="43">
        <v>3</v>
      </c>
      <c r="V23" s="43">
        <v>98276.25</v>
      </c>
      <c r="W23" s="44">
        <f>IF(T23="","",T23*V23)</f>
        <v>230359.53</v>
      </c>
      <c r="X23" s="29"/>
    </row>
    <row r="24" s="1" customFormat="1" ht="27.95" customHeight="1" spans="1:27">
      <c r="A24" s="23">
        <v>19</v>
      </c>
      <c r="B24" s="25" t="s">
        <v>389</v>
      </c>
      <c r="C24" s="25" t="s">
        <v>390</v>
      </c>
      <c r="D24" s="24"/>
      <c r="E24" s="25" t="s">
        <v>391</v>
      </c>
      <c r="F24" s="42">
        <v>0.03</v>
      </c>
      <c r="G24" s="42">
        <v>0.016</v>
      </c>
      <c r="H24" s="42">
        <v>0.28</v>
      </c>
      <c r="I24" s="42">
        <v>0.089</v>
      </c>
      <c r="J24" s="42">
        <v>0.2348</v>
      </c>
      <c r="K24" s="42">
        <v>0.156</v>
      </c>
      <c r="L24" s="42">
        <v>0.078</v>
      </c>
      <c r="M24" s="42">
        <v>0.2901</v>
      </c>
      <c r="N24" s="42">
        <v>0.28</v>
      </c>
      <c r="O24" s="42">
        <v>0.33</v>
      </c>
      <c r="P24" s="42"/>
      <c r="Q24" s="42"/>
      <c r="R24" s="42"/>
      <c r="S24" s="42"/>
      <c r="T24" s="42">
        <f>IF(SUM(F24:N24)=0,"",SUM(F24:O24))</f>
        <v>1.7839</v>
      </c>
      <c r="U24" s="43">
        <v>2</v>
      </c>
      <c r="V24" s="43">
        <v>19703.17</v>
      </c>
      <c r="W24" s="44">
        <f>IF(T24="","",T24*V24)</f>
        <v>35148.484963</v>
      </c>
      <c r="X24" s="29"/>
    </row>
    <row r="25" s="1" customFormat="1" ht="27.95" customHeight="1" spans="1:27">
      <c r="A25" s="23">
        <v>20</v>
      </c>
      <c r="B25" s="25" t="s">
        <v>392</v>
      </c>
      <c r="C25" s="25" t="s">
        <v>393</v>
      </c>
      <c r="D25" s="24"/>
      <c r="E25" s="25" t="s">
        <v>391</v>
      </c>
      <c r="F25" s="42">
        <v>0.03</v>
      </c>
      <c r="G25" s="42">
        <v>0.016</v>
      </c>
      <c r="H25" s="42">
        <v>0.28</v>
      </c>
      <c r="I25" s="42">
        <v>0.089</v>
      </c>
      <c r="J25" s="42">
        <v>0.2348</v>
      </c>
      <c r="K25" s="42">
        <v>0.156</v>
      </c>
      <c r="L25" s="42">
        <v>0.078</v>
      </c>
      <c r="M25" s="42">
        <v>0.29</v>
      </c>
      <c r="N25" s="42">
        <v>0.28</v>
      </c>
      <c r="O25" s="42">
        <v>0.33</v>
      </c>
      <c r="P25" s="42"/>
      <c r="Q25" s="42"/>
      <c r="R25" s="42"/>
      <c r="S25" s="42"/>
      <c r="T25" s="42">
        <f>IF(SUM(F25:N25)=0,"",SUM(F25:O25))</f>
        <v>1.7838</v>
      </c>
      <c r="U25" s="43">
        <v>2</v>
      </c>
      <c r="V25" s="43">
        <v>21330.37</v>
      </c>
      <c r="W25" s="44">
        <f>IF(T25="","",T25*V25)</f>
        <v>38049.114006</v>
      </c>
      <c r="X25" s="29"/>
    </row>
    <row r="26" s="1" customFormat="1" ht="27.95" customHeight="1" spans="1:27">
      <c r="A26" s="23">
        <v>21</v>
      </c>
      <c r="B26" s="25" t="s">
        <v>394</v>
      </c>
      <c r="C26" s="25" t="s">
        <v>395</v>
      </c>
      <c r="D26" s="24"/>
      <c r="E26" s="25" t="s">
        <v>396</v>
      </c>
      <c r="F26" s="51">
        <v>0.02</v>
      </c>
      <c r="G26" s="51">
        <v>0.02</v>
      </c>
      <c r="H26" s="51">
        <v>0.02</v>
      </c>
      <c r="I26" s="51">
        <v>0.02</v>
      </c>
      <c r="J26" s="51">
        <v>0.02</v>
      </c>
      <c r="K26" s="51">
        <v>0.02</v>
      </c>
      <c r="L26" s="51">
        <v>0.02</v>
      </c>
      <c r="M26" s="51">
        <v>0.02</v>
      </c>
      <c r="N26" s="51">
        <v>0.02</v>
      </c>
      <c r="O26" s="51">
        <v>0.11</v>
      </c>
      <c r="P26" s="51"/>
      <c r="Q26" s="51"/>
      <c r="R26" s="51"/>
      <c r="S26" s="51"/>
      <c r="T26" s="42">
        <f>IF(SUM(F26:N26)=0,"",SUM(F26:O26))</f>
        <v>0.29</v>
      </c>
      <c r="U26" s="52" t="s">
        <v>397</v>
      </c>
      <c r="V26" s="43">
        <v>45319.32</v>
      </c>
      <c r="W26" s="44">
        <f>IF(T26="","",T26*V26)</f>
        <v>13142.6028</v>
      </c>
      <c r="X26" s="29"/>
    </row>
    <row r="27" s="1" customFormat="1" ht="27.95" customHeight="1" spans="1:27">
      <c r="A27" s="23">
        <v>22</v>
      </c>
      <c r="B27" s="25" t="s">
        <v>398</v>
      </c>
      <c r="C27" s="25" t="s">
        <v>399</v>
      </c>
      <c r="D27" s="24"/>
      <c r="E27" s="25" t="s">
        <v>400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 t="str">
        <f>IF(SUM(F27:L27)=0,"",SUM(F27:L27))</f>
        <v/>
      </c>
      <c r="U27" s="43"/>
      <c r="V27" s="43">
        <v>4324.39</v>
      </c>
      <c r="W27" s="44" t="str">
        <f>IF(T27="","",T27*V27)</f>
        <v/>
      </c>
      <c r="X27" s="29"/>
    </row>
    <row r="28" s="1" customFormat="1" ht="27.95" customHeight="1" spans="1:27">
      <c r="A28" s="23">
        <v>23</v>
      </c>
      <c r="B28" s="25" t="s">
        <v>401</v>
      </c>
      <c r="C28" s="25" t="s">
        <v>402</v>
      </c>
      <c r="D28" s="24"/>
      <c r="E28" s="25" t="s">
        <v>400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 t="str">
        <f>IF(SUM(F28:L28)=0,"",SUM(F28:L28))</f>
        <v/>
      </c>
      <c r="U28" s="43"/>
      <c r="V28" s="43">
        <v>5694.95</v>
      </c>
      <c r="W28" s="44" t="str">
        <f>IF(T28="","",T28*V28)</f>
        <v/>
      </c>
      <c r="X28" s="29"/>
    </row>
    <row r="29" s="1" customFormat="1" ht="27.95" customHeight="1" spans="1:27">
      <c r="A29" s="23">
        <v>24</v>
      </c>
      <c r="B29" s="25" t="s">
        <v>403</v>
      </c>
      <c r="C29" s="25" t="s">
        <v>404</v>
      </c>
      <c r="D29" s="24"/>
      <c r="E29" s="25" t="s">
        <v>400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 t="str">
        <f>IF(SUM(F29:L29)=0,"",SUM(F29:L29))</f>
        <v/>
      </c>
      <c r="U29" s="43"/>
      <c r="V29" s="43">
        <v>5390.34</v>
      </c>
      <c r="W29" s="44" t="str">
        <f>IF(T29="","",T29*V29)</f>
        <v/>
      </c>
      <c r="X29" s="29"/>
    </row>
    <row r="30" s="1" customFormat="1" ht="27.95" customHeight="1" spans="1:27">
      <c r="A30" s="23">
        <v>25</v>
      </c>
      <c r="B30" s="25" t="s">
        <v>405</v>
      </c>
      <c r="C30" s="25" t="s">
        <v>406</v>
      </c>
      <c r="D30" s="24"/>
      <c r="E30" s="25" t="s">
        <v>407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 t="str">
        <f>IF(SUM(F30:N30)=0,"",SUM(F30:N30))</f>
        <v/>
      </c>
      <c r="U30" s="43">
        <v>100</v>
      </c>
      <c r="V30" s="43">
        <v>48.36</v>
      </c>
      <c r="W30" s="44" t="str">
        <f>IF(T30="","",T30*V30)</f>
        <v/>
      </c>
      <c r="X30" s="29"/>
    </row>
    <row r="31" s="1" customFormat="1" ht="27.95" customHeight="1" spans="1:27">
      <c r="A31" s="23">
        <v>26</v>
      </c>
      <c r="B31" s="25" t="s">
        <v>408</v>
      </c>
      <c r="C31" s="25" t="s">
        <v>409</v>
      </c>
      <c r="D31" s="25"/>
      <c r="E31" s="25" t="s">
        <v>410</v>
      </c>
      <c r="F31" s="53"/>
      <c r="G31" s="53"/>
      <c r="H31" s="53">
        <v>0.24</v>
      </c>
      <c r="I31" s="53">
        <v>0.135</v>
      </c>
      <c r="J31" s="53">
        <v>0.24</v>
      </c>
      <c r="K31" s="53"/>
      <c r="L31" s="53"/>
      <c r="M31" s="53"/>
      <c r="N31" s="53">
        <v>0.42</v>
      </c>
      <c r="O31" s="53"/>
      <c r="P31" s="53"/>
      <c r="Q31" s="53"/>
      <c r="R31" s="53"/>
      <c r="S31" s="53"/>
      <c r="T31" s="53">
        <f>IF(SUM(F31:N31)=0,"",SUM(F31:N31))</f>
        <v>1.035</v>
      </c>
      <c r="U31" s="43">
        <v>7</v>
      </c>
      <c r="V31" s="43">
        <v>67754.23</v>
      </c>
      <c r="W31" s="44">
        <f>IF(T31="","",T31*V31)</f>
        <v>70125.62805</v>
      </c>
      <c r="X31" s="29"/>
    </row>
    <row r="32" s="1" customFormat="1" ht="27.95" customHeight="1" spans="1:27">
      <c r="A32" s="23">
        <v>27</v>
      </c>
      <c r="B32" s="25" t="s">
        <v>411</v>
      </c>
      <c r="C32" s="25" t="s">
        <v>412</v>
      </c>
      <c r="D32" s="24"/>
      <c r="E32" s="25" t="s">
        <v>410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 t="str">
        <f>IF(SUM(F32:L32)=0,"",SUM(F32:L32))</f>
        <v/>
      </c>
      <c r="U32" s="43">
        <v>4</v>
      </c>
      <c r="V32" s="43">
        <v>130778.79</v>
      </c>
      <c r="W32" s="44" t="str">
        <f>IF(T32="","",T32*V32)</f>
        <v/>
      </c>
      <c r="X32" s="29"/>
    </row>
    <row r="33" s="1" customFormat="1" ht="27.95" customHeight="1" spans="1:24">
      <c r="A33" s="23">
        <v>28</v>
      </c>
      <c r="B33" s="25" t="s">
        <v>413</v>
      </c>
      <c r="C33" s="25" t="s">
        <v>414</v>
      </c>
      <c r="D33" s="24"/>
      <c r="E33" s="25" t="s">
        <v>410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 t="str">
        <f>IF(SUM(F33:L33)=0,"",SUM(F33:L33))</f>
        <v/>
      </c>
      <c r="U33" s="43">
        <v>0.5</v>
      </c>
      <c r="V33" s="43">
        <v>49773.58</v>
      </c>
      <c r="W33" s="44" t="str">
        <f>IF(T33="","",T33*V33)</f>
        <v/>
      </c>
      <c r="X33" s="29"/>
    </row>
    <row r="34" s="3" customFormat="1" ht="27.95" customHeight="1" spans="1:24">
      <c r="A34" s="23">
        <v>29</v>
      </c>
      <c r="B34" s="25" t="s">
        <v>415</v>
      </c>
      <c r="C34" s="25" t="s">
        <v>416</v>
      </c>
      <c r="D34" s="24"/>
      <c r="E34" s="25" t="s">
        <v>410</v>
      </c>
      <c r="F34" s="54"/>
      <c r="G34" s="54"/>
      <c r="H34" s="53"/>
      <c r="I34" s="53"/>
      <c r="J34" s="53"/>
      <c r="K34" s="53"/>
      <c r="L34" s="54"/>
      <c r="M34" s="53"/>
      <c r="N34" s="53"/>
      <c r="O34" s="53"/>
      <c r="P34" s="53"/>
      <c r="Q34" s="53"/>
      <c r="R34" s="53"/>
      <c r="S34" s="53"/>
      <c r="T34" s="53" t="str">
        <f>IF(SUM(F34:L34)=0,"",SUM(F34:L34))</f>
        <v/>
      </c>
      <c r="U34" s="43">
        <v>0.5</v>
      </c>
      <c r="V34" s="43">
        <v>162263.13</v>
      </c>
      <c r="W34" s="44" t="str">
        <f>IF(T34="","",T34*V34)</f>
        <v/>
      </c>
      <c r="X34" s="55"/>
    </row>
    <row r="35" s="1" customFormat="1" ht="27.95" customHeight="1" spans="1:24">
      <c r="A35" s="23">
        <v>30</v>
      </c>
      <c r="B35" s="25" t="s">
        <v>417</v>
      </c>
      <c r="C35" s="25" t="s">
        <v>418</v>
      </c>
      <c r="D35" s="24"/>
      <c r="E35" s="25" t="s">
        <v>410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 t="str">
        <f>IF(SUM(F35:L35)=0,"",SUM(F35:L35))</f>
        <v/>
      </c>
      <c r="U35" s="56"/>
      <c r="V35" s="43">
        <v>189462.95</v>
      </c>
      <c r="W35" s="44" t="str">
        <f>IF(T35="","",T35*V35)</f>
        <v/>
      </c>
      <c r="X35" s="29"/>
    </row>
    <row r="36" s="1" customFormat="1" ht="27.95" customHeight="1" spans="1:24">
      <c r="A36" s="23">
        <v>31</v>
      </c>
      <c r="B36" s="25" t="s">
        <v>419</v>
      </c>
      <c r="C36" s="25" t="s">
        <v>420</v>
      </c>
      <c r="D36" s="24"/>
      <c r="E36" s="25" t="s">
        <v>410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 t="str">
        <f>IF(SUM(F36:L36)=0,"",SUM(F36:L36))</f>
        <v/>
      </c>
      <c r="U36" s="43">
        <v>0.5</v>
      </c>
      <c r="V36" s="43">
        <v>104995.04</v>
      </c>
      <c r="W36" s="44" t="str">
        <f>IF(T36="","",T36*V36)</f>
        <v/>
      </c>
      <c r="X36" s="29"/>
    </row>
    <row r="37" s="1" customFormat="1" ht="27.95" customHeight="1" spans="1:24">
      <c r="A37" s="57"/>
      <c r="B37" s="58"/>
      <c r="C37" s="58" t="s">
        <v>29</v>
      </c>
      <c r="D37" s="58"/>
      <c r="E37" s="58"/>
      <c r="F37" s="58"/>
      <c r="G37" s="53"/>
      <c r="H37" s="58"/>
      <c r="I37" s="58"/>
      <c r="J37" s="58"/>
      <c r="K37" s="58"/>
      <c r="L37" s="58"/>
      <c r="M37" s="59"/>
      <c r="N37" s="59"/>
      <c r="O37" s="59"/>
      <c r="P37" s="59"/>
      <c r="Q37" s="59"/>
      <c r="R37" s="59"/>
      <c r="S37" s="59"/>
      <c r="T37" s="59"/>
      <c r="U37" s="60"/>
      <c r="V37" s="60"/>
      <c r="W37" s="61">
        <f>SUM(W6:W36)</f>
        <v>1163507.795995</v>
      </c>
      <c r="X37" s="62"/>
    </row>
    <row r="38" spans="1:24">
      <c r="F38" s="53"/>
      <c r="G38" s="58"/>
    </row>
    <row r="39" spans="1:24">
      <c r="F39" s="58"/>
    </row>
  </sheetData>
  <mergeCells count="36">
    <mergeCell ref="C1:D1"/>
    <mergeCell ref="C2:D2"/>
    <mergeCell ref="C3:D3"/>
    <mergeCell ref="C4:D4"/>
    <mergeCell ref="C5:D5"/>
    <mergeCell ref="C6:D6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1:A2"/>
    <mergeCell ref="B1:B2"/>
    <mergeCell ref="C7:C10"/>
    <mergeCell ref="C11:C14"/>
    <mergeCell ref="C15:C18"/>
    <mergeCell ref="E1:E2"/>
    <mergeCell ref="T1:T2"/>
    <mergeCell ref="U1:U2"/>
    <mergeCell ref="V1:V2"/>
    <mergeCell ref="W1:W2"/>
    <mergeCell ref="X1:X2"/>
  </mergeCells>
  <printOptions horizontalCentered="1"/>
  <pageMargins left="0.45" right="0.45" top="0.95" bottom="0.56" header="0.61" footer="0.35"/>
  <pageSetup paperSize="9" scale="70" orientation="portrait" horizontalDpi="600" verticalDpi="600"/>
  <headerFooter alignWithMargins="0">
    <oddHeader>&amp;C&amp;"黑体,常规"&amp;20 08年～13年建的道路设施养护工程--包件一（谈判）</oddHeader>
    <oddFooter>&amp;C共&amp;N页，第&amp;P页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绿化-东</vt:lpstr>
      <vt:lpstr>绿化-西南</vt:lpstr>
      <vt:lpstr>绿化-西北</vt:lpstr>
      <vt:lpstr>道路保洁-东</vt:lpstr>
      <vt:lpstr>道路保洁-西南</vt:lpstr>
      <vt:lpstr>道路保洁-西北</vt:lpstr>
      <vt:lpstr>市政西北片</vt:lpstr>
      <vt:lpstr>市政-东片</vt:lpstr>
      <vt:lpstr>市政-西南片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Clorls</cp:lastModifiedBy>
  <dcterms:created xsi:type="dcterms:W3CDTF">2024-11-25T07:55:00Z</dcterms:created>
  <dcterms:modified xsi:type="dcterms:W3CDTF">2025-11-19T05:50:19Z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5B7CBE4982D4439F8ED12AE271BFE19F_11</vt:lpwstr>
  </property>
  <property fmtid="{D5CDD505-2E9C-101B-9397-08002B2CF9AE}" pid="3" name="KSOProductBuildVer">
    <vt:lpwstr>2052-12.1.0.23542</vt:lpwstr>
  </property>
</Properties>
</file>